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601" activeTab="0"/>
  </bookViews>
  <sheets>
    <sheet name="MŠ" sheetId="1" r:id="rId1"/>
    <sheet name="ZŠ" sheetId="2" r:id="rId2"/>
    <sheet name="ŠJ MČ" sheetId="3" r:id="rId3"/>
    <sheet name="ZUŠ MČ " sheetId="4" r:id="rId4"/>
    <sheet name="DDM MČ " sheetId="5" r:id="rId5"/>
  </sheets>
  <definedNames/>
  <calcPr fullCalcOnLoad="1"/>
</workbook>
</file>

<file path=xl/sharedStrings.xml><?xml version="1.0" encoding="utf-8"?>
<sst xmlns="http://schemas.openxmlformats.org/spreadsheetml/2006/main" count="759" uniqueCount="583">
  <si>
    <t>IČO</t>
  </si>
  <si>
    <t>počet pracov.</t>
  </si>
  <si>
    <t>platy celkem</t>
  </si>
  <si>
    <t>OON celkem</t>
  </si>
  <si>
    <t>odvody celkem</t>
  </si>
  <si>
    <t>přímé ONIV</t>
  </si>
  <si>
    <t>NIV celkem</t>
  </si>
  <si>
    <t>provozní ONIV</t>
  </si>
  <si>
    <t>Celkem</t>
  </si>
  <si>
    <t>počet prac.</t>
  </si>
  <si>
    <t>v tis. Kč</t>
  </si>
  <si>
    <t>Název zařízení</t>
  </si>
  <si>
    <t>Školní jídelny</t>
  </si>
  <si>
    <t>ZUŠ - Španielova 1124, Praha 6</t>
  </si>
  <si>
    <t>DDM-Ratibořická,Hor.Počernice</t>
  </si>
  <si>
    <t>DDM-Bronzová, Praha 13</t>
  </si>
  <si>
    <t xml:space="preserve"> </t>
  </si>
  <si>
    <t>odd. par.</t>
  </si>
  <si>
    <t>§ 3111</t>
  </si>
  <si>
    <t>Mateřské školy</t>
  </si>
  <si>
    <t>PRAHA 1</t>
  </si>
  <si>
    <t>Hellichova13/300</t>
  </si>
  <si>
    <t>Letenská 5/120</t>
  </si>
  <si>
    <t>Masná 11/700</t>
  </si>
  <si>
    <t>Národní 37</t>
  </si>
  <si>
    <t>Pštrossova 11/204</t>
  </si>
  <si>
    <t>Revoluční 26/1247</t>
  </si>
  <si>
    <t>U Nových mlýnů</t>
  </si>
  <si>
    <t>Washingtonova 23</t>
  </si>
  <si>
    <t>PRAHA 5</t>
  </si>
  <si>
    <t>Beníškové 988</t>
  </si>
  <si>
    <t xml:space="preserve">Hlubočepská 40 </t>
  </si>
  <si>
    <t>Holečkova 38</t>
  </si>
  <si>
    <t>Kroupova 2775</t>
  </si>
  <si>
    <t>Kudrnova 1a</t>
  </si>
  <si>
    <t>Kurandové 669</t>
  </si>
  <si>
    <t>Lohniského 830</t>
  </si>
  <si>
    <t>Lohniského 851</t>
  </si>
  <si>
    <t>Nad Palatou 29</t>
  </si>
  <si>
    <t>Nám. 14. října 9a</t>
  </si>
  <si>
    <t>Peroutkova 24</t>
  </si>
  <si>
    <t>Peškova 963</t>
  </si>
  <si>
    <t>Podbělohorská 1</t>
  </si>
  <si>
    <t>Tréglova 3</t>
  </si>
  <si>
    <t>Trojdílná 18</t>
  </si>
  <si>
    <t>U Žel. mostu</t>
  </si>
  <si>
    <t>PRAHA 6</t>
  </si>
  <si>
    <t>Arabská 20/681</t>
  </si>
  <si>
    <t>Bubeníčkova 6</t>
  </si>
  <si>
    <t>Čínská 33</t>
  </si>
  <si>
    <t>Dusíkova 3/1946</t>
  </si>
  <si>
    <t>Gagarinova 1103</t>
  </si>
  <si>
    <t>Jílkova 3/1700</t>
  </si>
  <si>
    <t>Juarezova 24/1037</t>
  </si>
  <si>
    <t>K Roztokům 879</t>
  </si>
  <si>
    <t>Libocká 66/148</t>
  </si>
  <si>
    <t>Meziškolská 2/1120</t>
  </si>
  <si>
    <t>Na dlouh.lánu 57a</t>
  </si>
  <si>
    <t>Na okraji  301</t>
  </si>
  <si>
    <t>Parléřova 2a</t>
  </si>
  <si>
    <t>Sbíhavá 2/360</t>
  </si>
  <si>
    <t>Šmolíkova 3/865</t>
  </si>
  <si>
    <t>Terronská 20/200</t>
  </si>
  <si>
    <t>Velvarská 34</t>
  </si>
  <si>
    <t>Vokovická 28</t>
  </si>
  <si>
    <t>Volavkova 7/1877</t>
  </si>
  <si>
    <t>Nad Želivkou 598</t>
  </si>
  <si>
    <t>PRAHA 7</t>
  </si>
  <si>
    <t>Čechova 29/587</t>
  </si>
  <si>
    <t>Letohradská 1/370</t>
  </si>
  <si>
    <t>Na Výšinách 3/1075</t>
  </si>
  <si>
    <t>Nad Kazankou 30/230</t>
  </si>
  <si>
    <t>Nad Štolou 6/1277</t>
  </si>
  <si>
    <t>U Uranie 16</t>
  </si>
  <si>
    <t>PRAHA 8</t>
  </si>
  <si>
    <t>Bílenecké nám. 1</t>
  </si>
  <si>
    <t>Bojasova1/1242</t>
  </si>
  <si>
    <t>Chabařovická 2</t>
  </si>
  <si>
    <t>Klíčanská 20</t>
  </si>
  <si>
    <t>Korycanská 14</t>
  </si>
  <si>
    <t>Kotlaska 3/30</t>
  </si>
  <si>
    <t>Lešenská 2/548</t>
  </si>
  <si>
    <t>Libčická 6/398</t>
  </si>
  <si>
    <t>Na Korábě 2/350</t>
  </si>
  <si>
    <t>Na Pěšinách13/1720</t>
  </si>
  <si>
    <t>Na Přesypu 4/441</t>
  </si>
  <si>
    <t>Nekvasilova 27/575</t>
  </si>
  <si>
    <t>Poznaňská 32/462</t>
  </si>
  <si>
    <t>Protilehlá 5/235</t>
  </si>
  <si>
    <t>Řešovská 8/490</t>
  </si>
  <si>
    <t>Sokolovská 182</t>
  </si>
  <si>
    <t>Šimůnkova 13</t>
  </si>
  <si>
    <t>Šiškova 2/1223</t>
  </si>
  <si>
    <t>Štěpničná /1964</t>
  </si>
  <si>
    <t>U sluncové 10a</t>
  </si>
  <si>
    <t>PRAHA 9</t>
  </si>
  <si>
    <t>Kovářská 27</t>
  </si>
  <si>
    <t>Litvínovská 490</t>
  </si>
  <si>
    <t>Novoborská  611</t>
  </si>
  <si>
    <t>Šluknovská 328</t>
  </si>
  <si>
    <t>U Nové školy 637</t>
  </si>
  <si>
    <t>U Vysočan. pivovaru</t>
  </si>
  <si>
    <t>Veltruská 560</t>
  </si>
  <si>
    <t>PRAHA 13</t>
  </si>
  <si>
    <t>Běhounkova 2300</t>
  </si>
  <si>
    <t>Běhounkova 2474</t>
  </si>
  <si>
    <t>Herčíkova</t>
  </si>
  <si>
    <t>Horákova</t>
  </si>
  <si>
    <t>Hostinského</t>
  </si>
  <si>
    <t>Husníkova</t>
  </si>
  <si>
    <t>Chlupova 21/1798</t>
  </si>
  <si>
    <t>Chlupova 1799</t>
  </si>
  <si>
    <t>K závětinám</t>
  </si>
  <si>
    <t>Klausova 2187</t>
  </si>
  <si>
    <t>Klausova 2188</t>
  </si>
  <si>
    <t>Klausova 2449</t>
  </si>
  <si>
    <t>Mezi školami 2323</t>
  </si>
  <si>
    <t>Mezi školami 2482</t>
  </si>
  <si>
    <t>Mohylova 4</t>
  </si>
  <si>
    <t>Ovčí hájek</t>
  </si>
  <si>
    <t>Podpěrova</t>
  </si>
  <si>
    <t>Trávníčkova</t>
  </si>
  <si>
    <t>Vlachova</t>
  </si>
  <si>
    <t>Vlasákova</t>
  </si>
  <si>
    <t>Zázvorkova</t>
  </si>
  <si>
    <t>PRAHA 14</t>
  </si>
  <si>
    <t>Bobkova 766</t>
  </si>
  <si>
    <t>gen. Janouška 4</t>
  </si>
  <si>
    <t>Chvaletická 917</t>
  </si>
  <si>
    <t>Kostlivého 1218</t>
  </si>
  <si>
    <t>Paculova1115</t>
  </si>
  <si>
    <t>Svatoňovická 587</t>
  </si>
  <si>
    <t>Šebelova</t>
  </si>
  <si>
    <t>Štolmířská 602</t>
  </si>
  <si>
    <t>Vybíralova 967</t>
  </si>
  <si>
    <t>Vybíralova 968</t>
  </si>
  <si>
    <t>Zelenečská 500</t>
  </si>
  <si>
    <t>PRAHA 16</t>
  </si>
  <si>
    <t>K samoobsluze</t>
  </si>
  <si>
    <t>Matjuchinova 698</t>
  </si>
  <si>
    <t>Nad parkem 1181</t>
  </si>
  <si>
    <t>Za ovčínem</t>
  </si>
  <si>
    <t>PRAHA 17</t>
  </si>
  <si>
    <t>Brunnerova,  Fialka</t>
  </si>
  <si>
    <t>Bendova 1123</t>
  </si>
  <si>
    <t>Laudova 1030</t>
  </si>
  <si>
    <t>Socháňova 1176</t>
  </si>
  <si>
    <t>Španielova 1316</t>
  </si>
  <si>
    <t>PRAHA 18</t>
  </si>
  <si>
    <t>Příborská</t>
  </si>
  <si>
    <t>PRAHA 19</t>
  </si>
  <si>
    <t>Letců 731</t>
  </si>
  <si>
    <t>Něvská 830</t>
  </si>
  <si>
    <t>Slaviborské nám.21</t>
  </si>
  <si>
    <t>U Obory 385</t>
  </si>
  <si>
    <t>PRAHA 20</t>
  </si>
  <si>
    <t>MŠ Chodovická</t>
  </si>
  <si>
    <t>Křovinovo nám. 115</t>
  </si>
  <si>
    <t>PRAHA 21</t>
  </si>
  <si>
    <t>Lišická 1502</t>
  </si>
  <si>
    <t>Starokolínská</t>
  </si>
  <si>
    <t>MŠ V Žáčku 219</t>
  </si>
  <si>
    <t>Žárovická</t>
  </si>
  <si>
    <t>PRAHA 2</t>
  </si>
  <si>
    <t>Kladská 25</t>
  </si>
  <si>
    <t>Na Děkance 2</t>
  </si>
  <si>
    <t>Na Smetance 1</t>
  </si>
  <si>
    <t>Římská 27</t>
  </si>
  <si>
    <t>Slovenská 27</t>
  </si>
  <si>
    <t>Španělská 16</t>
  </si>
  <si>
    <t>Šumavská 37</t>
  </si>
  <si>
    <t>Viničná 1</t>
  </si>
  <si>
    <t>PRAHA 3</t>
  </si>
  <si>
    <t>Buková</t>
  </si>
  <si>
    <t>Jeseniova 4-6</t>
  </si>
  <si>
    <t>Jeseniova 204</t>
  </si>
  <si>
    <t>Jeseniova 98</t>
  </si>
  <si>
    <t>Koněvova</t>
  </si>
  <si>
    <t xml:space="preserve">Libická </t>
  </si>
  <si>
    <t>Na Balkáně</t>
  </si>
  <si>
    <t>Na Vrcholu</t>
  </si>
  <si>
    <t>nám. J. z Lobkovic</t>
  </si>
  <si>
    <t>Přibyslavská</t>
  </si>
  <si>
    <t>Sauerova</t>
  </si>
  <si>
    <t>Sudoměřská</t>
  </si>
  <si>
    <t>U Zásob.zahrady</t>
  </si>
  <si>
    <t>Vozová</t>
  </si>
  <si>
    <t>Za Žižk.vozovnou</t>
  </si>
  <si>
    <t>PRAHA 4</t>
  </si>
  <si>
    <t>Bezová</t>
  </si>
  <si>
    <t>Boleslavova</t>
  </si>
  <si>
    <t>Družstevní ochoz</t>
  </si>
  <si>
    <t>Fillova</t>
  </si>
  <si>
    <t>Hadovitá</t>
  </si>
  <si>
    <t>Horáčkova</t>
  </si>
  <si>
    <t>Hudečkova</t>
  </si>
  <si>
    <t>Jihozápadní</t>
  </si>
  <si>
    <t>Jílovská</t>
  </si>
  <si>
    <t>Jitřní</t>
  </si>
  <si>
    <t>K Podjezdu</t>
  </si>
  <si>
    <t>Kukučínova</t>
  </si>
  <si>
    <t>Matěchova</t>
  </si>
  <si>
    <t>Mezivrší</t>
  </si>
  <si>
    <t>Na Bučance</t>
  </si>
  <si>
    <t>Na Chodovci</t>
  </si>
  <si>
    <t>Na Větrově 22</t>
  </si>
  <si>
    <t>Na Větrově 22a</t>
  </si>
  <si>
    <t>Na Zvoničce</t>
  </si>
  <si>
    <t>Němčická</t>
  </si>
  <si>
    <t>Ohradní</t>
  </si>
  <si>
    <t>Plamínkové</t>
  </si>
  <si>
    <t>Přímětická</t>
  </si>
  <si>
    <t>Sedlčanská</t>
  </si>
  <si>
    <t>Svojšovická</t>
  </si>
  <si>
    <t>Táborská</t>
  </si>
  <si>
    <t>Tajovského</t>
  </si>
  <si>
    <t>Točitá</t>
  </si>
  <si>
    <t>Trenčínská</t>
  </si>
  <si>
    <t>V Zápolí</t>
  </si>
  <si>
    <t>Voráčovská</t>
  </si>
  <si>
    <t xml:space="preserve">Předškolní  </t>
  </si>
  <si>
    <t>PRAHA 10</t>
  </si>
  <si>
    <t>Bajkalská 169</t>
  </si>
  <si>
    <t>Benešovská 28</t>
  </si>
  <si>
    <t>Dvouletky</t>
  </si>
  <si>
    <t>Hřibská</t>
  </si>
  <si>
    <t>Chmelová</t>
  </si>
  <si>
    <t>Kodaňská 989</t>
  </si>
  <si>
    <t>Křenická</t>
  </si>
  <si>
    <t>Magnitogorská</t>
  </si>
  <si>
    <t>Mládežnická</t>
  </si>
  <si>
    <t>Nedvězská 27/2224</t>
  </si>
  <si>
    <t>Nučická 1914</t>
  </si>
  <si>
    <t>Omská</t>
  </si>
  <si>
    <t>Podléšková 26/3087</t>
  </si>
  <si>
    <t>Rembrandtova</t>
  </si>
  <si>
    <t>Štěchovická 4/1981</t>
  </si>
  <si>
    <t>Tolstého 1353</t>
  </si>
  <si>
    <t>Troilova17/474</t>
  </si>
  <si>
    <t>Tuchorazská 472</t>
  </si>
  <si>
    <t>U Roh. kasáren</t>
  </si>
  <si>
    <t>U Vršovického n.</t>
  </si>
  <si>
    <t>Útulná 6/2099</t>
  </si>
  <si>
    <t>Ve Stínu 10</t>
  </si>
  <si>
    <t>Vladivostocká</t>
  </si>
  <si>
    <t>Zvonková12</t>
  </si>
  <si>
    <t>PRAHA 11</t>
  </si>
  <si>
    <t>A.Drabíkové</t>
  </si>
  <si>
    <t>Blatenská</t>
  </si>
  <si>
    <t>Hrabákova</t>
  </si>
  <si>
    <t>Hroncova</t>
  </si>
  <si>
    <t>Janouchova</t>
  </si>
  <si>
    <t>Jažlovická</t>
  </si>
  <si>
    <t>Konstantinova</t>
  </si>
  <si>
    <t>Křejpského</t>
  </si>
  <si>
    <t>Markušova</t>
  </si>
  <si>
    <t>Mírového hnutí</t>
  </si>
  <si>
    <t>Modletická</t>
  </si>
  <si>
    <t>Stachova,inter.</t>
  </si>
  <si>
    <t>Sulanského</t>
  </si>
  <si>
    <t>V Benátkách</t>
  </si>
  <si>
    <t>Vejvanovského</t>
  </si>
  <si>
    <t xml:space="preserve">Na Příčné mezi </t>
  </si>
  <si>
    <t>PRAHA 12</t>
  </si>
  <si>
    <t>Čechtická</t>
  </si>
  <si>
    <t>Imrychova</t>
  </si>
  <si>
    <t>K Výboru</t>
  </si>
  <si>
    <t>Krouzova</t>
  </si>
  <si>
    <t>Levského</t>
  </si>
  <si>
    <t>Liškova</t>
  </si>
  <si>
    <t>Lysinská</t>
  </si>
  <si>
    <t>Palmetova</t>
  </si>
  <si>
    <t>Pejevové</t>
  </si>
  <si>
    <t>Platónova</t>
  </si>
  <si>
    <t>Pod Sady</t>
  </si>
  <si>
    <t>Smolkova</t>
  </si>
  <si>
    <t>Zárubova</t>
  </si>
  <si>
    <t>K Lukám</t>
  </si>
  <si>
    <t>Ke Kašně, Písnice</t>
  </si>
  <si>
    <t>Lojovická</t>
  </si>
  <si>
    <t>Mezi Domy, Písnice</t>
  </si>
  <si>
    <t>PRAHA 15</t>
  </si>
  <si>
    <t>Boloňská</t>
  </si>
  <si>
    <t>Horolezecká</t>
  </si>
  <si>
    <t>Libkovská</t>
  </si>
  <si>
    <t>Milánská 472</t>
  </si>
  <si>
    <t>Milánská 473</t>
  </si>
  <si>
    <t>Parmská 388</t>
  </si>
  <si>
    <t>Parmská 389</t>
  </si>
  <si>
    <t>Trhanovské n.</t>
  </si>
  <si>
    <t>Ke Školce</t>
  </si>
  <si>
    <t>Starodubečská</t>
  </si>
  <si>
    <t>Jakobiho</t>
  </si>
  <si>
    <t>PRAHA 22</t>
  </si>
  <si>
    <t>K Poště 11/448</t>
  </si>
  <si>
    <t>Za Nadýmačem</t>
  </si>
  <si>
    <t>Arabská 10/684</t>
  </si>
  <si>
    <t xml:space="preserve">Název zařízení                              </t>
  </si>
  <si>
    <t>§ 3113</t>
  </si>
  <si>
    <t xml:space="preserve">Základní školy                          </t>
  </si>
  <si>
    <t>Praha 1</t>
  </si>
  <si>
    <t>ZŠ Josefská 7, P1</t>
  </si>
  <si>
    <t>ZŠ Karmelitská 13, P1</t>
  </si>
  <si>
    <t>ZŠ Mikulandská 5, P1</t>
  </si>
  <si>
    <t>ZŠ n. Curierových 886, P1</t>
  </si>
  <si>
    <t>ZŠ Truhlářská 22, P1</t>
  </si>
  <si>
    <t>ZŠ Uhelný trh 4, P1</t>
  </si>
  <si>
    <t>ZŠ Vodičkova 22, P1</t>
  </si>
  <si>
    <t>Praha 2</t>
  </si>
  <si>
    <t>ZŠ Botičská 8, P2</t>
  </si>
  <si>
    <t>ZŠ J. Masaryka 21, P2</t>
  </si>
  <si>
    <t>ZŠ Kladská 1, P2</t>
  </si>
  <si>
    <t>ZŠ Legerova 5, P2</t>
  </si>
  <si>
    <t>ZŠ Londýnská 34, P2</t>
  </si>
  <si>
    <t>ZŠ Na Smetance 1, P2</t>
  </si>
  <si>
    <t>ZŠ Resslova 10, P2</t>
  </si>
  <si>
    <t>ZŠ Sázavská 5, P2</t>
  </si>
  <si>
    <t>ZŠ Slezská 21, P2</t>
  </si>
  <si>
    <t>ZŠ Slovenská 27, P2</t>
  </si>
  <si>
    <t>ZŠ Štěpánská 8, P2</t>
  </si>
  <si>
    <t>Praha 3</t>
  </si>
  <si>
    <t>ZŠ Havlíčkovo n. 10, P3</t>
  </si>
  <si>
    <t>ZŠ Chelčického 43, P3</t>
  </si>
  <si>
    <t>ZŠ Jeseniova 96, P3</t>
  </si>
  <si>
    <t>ZŠ K Lučinám 18, P3</t>
  </si>
  <si>
    <t>ŽŠ Lupáčova 1, P3</t>
  </si>
  <si>
    <t>ZŠ Nad Ohradou 25, P3</t>
  </si>
  <si>
    <t>ZŠ n.J z Lobkovic 22, P3</t>
  </si>
  <si>
    <t>ZŠ n.J. z Poděbrad 8, P3</t>
  </si>
  <si>
    <t>ZŠ Perunova 6, P3</t>
  </si>
  <si>
    <t>ZŠ V Záhrádkách 48, P3</t>
  </si>
  <si>
    <t>ZŠ Vlkova 31, P3</t>
  </si>
  <si>
    <t>ZŠ Žerotínova 36, P3</t>
  </si>
  <si>
    <t>Praha 4</t>
  </si>
  <si>
    <t>ZŠ Bítovská 1, P4</t>
  </si>
  <si>
    <t>ZŠ Filosofská 3, P4</t>
  </si>
  <si>
    <t>ZŠ Horáčkova 1100, P4</t>
  </si>
  <si>
    <t>ZŠ Jánošíkova 1300, P4</t>
  </si>
  <si>
    <t>ZŠ Jánošíkova 1320, P4</t>
  </si>
  <si>
    <t>ZŠ Jeremenkova 1003, P4</t>
  </si>
  <si>
    <t>ZŠ Jílovská 1100, P4</t>
  </si>
  <si>
    <t>ZŠ Jitřní 185, P4</t>
  </si>
  <si>
    <t>ZŠ Jižní 1750, P4</t>
  </si>
  <si>
    <t>ZŠ K Sídlišti 840, P4</t>
  </si>
  <si>
    <t>ZŠ Křesomyslova 2, P4</t>
  </si>
  <si>
    <t>ZŠ Mendíků 1, P4</t>
  </si>
  <si>
    <t>ZŠ Na Chodovci 94, P4</t>
  </si>
  <si>
    <t>ZŠ Na Líše 16, P4</t>
  </si>
  <si>
    <t>ZŠ Na Pankráci 54, P4</t>
  </si>
  <si>
    <t>ZŠ Na Planině 1393, P4</t>
  </si>
  <si>
    <t>ZŠ Nedvědovo n.140, P4</t>
  </si>
  <si>
    <t>ZŠ Ohradní 49, P4</t>
  </si>
  <si>
    <t>ZŠ Plamínkové 2, P4</t>
  </si>
  <si>
    <t>ZŠ Poláčkova 1067, P4</t>
  </si>
  <si>
    <t>ZŠ Předškolní 420, P4</t>
  </si>
  <si>
    <t>ZŠ Sdružení 1080, P4</t>
  </si>
  <si>
    <t>ZŠ Školní 700, P4</t>
  </si>
  <si>
    <t>ZŠ Táborská 45, P4</t>
  </si>
  <si>
    <t>Praha 5</t>
  </si>
  <si>
    <t>ZŠ Butovická 228, P5</t>
  </si>
  <si>
    <t>ZŠ Drtinova 1, P5</t>
  </si>
  <si>
    <t>ZŠ Grafická 1060, P5</t>
  </si>
  <si>
    <t>ZŠ Chaplinovo n. 615, P5</t>
  </si>
  <si>
    <t>ZŠ Ke Smíchovu 16,P5</t>
  </si>
  <si>
    <t>ZŠ Kořenského 760, P5</t>
  </si>
  <si>
    <t>ZŠ Nepomucká 139, P5</t>
  </si>
  <si>
    <t>ZŠ Plzeňská 117, P5</t>
  </si>
  <si>
    <t>ZŠ Podbělohorská 26, P5</t>
  </si>
  <si>
    <t>ZŠ U Tyrš. Školy 1, P5</t>
  </si>
  <si>
    <t>ZŠ Weberova 1090, P5</t>
  </si>
  <si>
    <t>Praha 6</t>
  </si>
  <si>
    <t>ZŠ Alžírská 26, P6</t>
  </si>
  <si>
    <t>ZŠ Bělohorská 103, P6</t>
  </si>
  <si>
    <t>ZŠ Bělohorská 174, P6</t>
  </si>
  <si>
    <t>ZŠ Bělohorská 52, P6</t>
  </si>
  <si>
    <t>ZŠ Bílá 1, P6</t>
  </si>
  <si>
    <t>ZŠ N. Čes. povstání 6, P6</t>
  </si>
  <si>
    <t>ZŠ N. Interbrigády 2, P6</t>
  </si>
  <si>
    <t xml:space="preserve">ZŠ Na Okraji 43, P6 </t>
  </si>
  <si>
    <t>ZŠ nám. Svobody 2, P6</t>
  </si>
  <si>
    <t>ZŠ nám. Svobody 3, P6</t>
  </si>
  <si>
    <t>ZŠ Norbertov 1, P6</t>
  </si>
  <si>
    <t>ZŠ Pod Marjánkou 2, P2</t>
  </si>
  <si>
    <t>ZŠ Suchdolská 360, P6</t>
  </si>
  <si>
    <t>ZŠ Sušická 29, P6</t>
  </si>
  <si>
    <t>ZŠ Šantrochova 2, P6</t>
  </si>
  <si>
    <t>ZŠ U Děl. Cvičiště 1, P6</t>
  </si>
  <si>
    <t>ZŠ Vlastina 19, P6</t>
  </si>
  <si>
    <t>ZŠ Žákovská 164, P6</t>
  </si>
  <si>
    <t>ZŠ Žukovského 6, P6</t>
  </si>
  <si>
    <t>Praha 7</t>
  </si>
  <si>
    <t>ZŠ Fr. Křížka 490, P7</t>
  </si>
  <si>
    <t>ZŠ Korunovační 8, P7</t>
  </si>
  <si>
    <t>ZŠ Letohradská 370, P7</t>
  </si>
  <si>
    <t>ZŠ Ortenovo n. 34, P7</t>
  </si>
  <si>
    <t>ZŠ Strossmayer. N. 990, P7</t>
  </si>
  <si>
    <t>ZŠ Trojská 110, P7</t>
  </si>
  <si>
    <t>ZŠ Umělecká 850, P7</t>
  </si>
  <si>
    <t>Praha 8</t>
  </si>
  <si>
    <t>ZŠ Bedřichovská 1960, P8</t>
  </si>
  <si>
    <t>ZŠ Burešova 1130, P8</t>
  </si>
  <si>
    <t>ZŠ Dolákova 555, P8</t>
  </si>
  <si>
    <t>ZŠ Glowackého 555, P8</t>
  </si>
  <si>
    <t>ZŠ Hlivická 400, P8</t>
  </si>
  <si>
    <t>ZŠ Hovorčovická 1281, P8</t>
  </si>
  <si>
    <t>ZŠ Chabařovická 1125, P8</t>
  </si>
  <si>
    <t>ZŠ Libčická 658, P8</t>
  </si>
  <si>
    <t>ZŠ Lyčkovo n. 460, P8</t>
  </si>
  <si>
    <t>ZŠ Na Korábě 350, P8</t>
  </si>
  <si>
    <t>ZŠ Na Šutce 440, P8</t>
  </si>
  <si>
    <t>ZŠ Palmovka 468, P8</t>
  </si>
  <si>
    <t>ZŠ Pernerova 383, P8</t>
  </si>
  <si>
    <t>ZŠ Spořická 400, P8</t>
  </si>
  <si>
    <t>ZŠ Svídnická 599, P8</t>
  </si>
  <si>
    <t>ZŠ U Parkánu 11, P8</t>
  </si>
  <si>
    <t>ZŠ U škol. Zahr. 1030, P8</t>
  </si>
  <si>
    <t>ZŠ Za Invalidovnou 579, P8</t>
  </si>
  <si>
    <t>ZŠ Zenklova 26, P8</t>
  </si>
  <si>
    <t>ZŠ Žernosecká 1597, P8</t>
  </si>
  <si>
    <t>Praha 9</t>
  </si>
  <si>
    <t>ZŠ Litvínovská 500, P9</t>
  </si>
  <si>
    <t>ZŠ Litvínovská 600, P9</t>
  </si>
  <si>
    <t>ZŠ Novoborská 371</t>
  </si>
  <si>
    <t>ZŠ Sokolovská 800, P9</t>
  </si>
  <si>
    <t>ZŠ Špitálská 789, P9</t>
  </si>
  <si>
    <t>Praha 10</t>
  </si>
  <si>
    <t>ZŠ Brigádniků 14, P10</t>
  </si>
  <si>
    <t>ZŠ Břečťanová 2919, P10</t>
  </si>
  <si>
    <t>ZŠ Gutova 39, P10</t>
  </si>
  <si>
    <t>ZŠ Hostýnská 2100, P10</t>
  </si>
  <si>
    <t>ZŠ Jahodová 2800, P10</t>
  </si>
  <si>
    <t>ZŠ Jakutská 2, P10</t>
  </si>
  <si>
    <t>ZŠ Kodaňská 16, P10</t>
  </si>
  <si>
    <t>ZŠ Nad Vodovodem 81, P10</t>
  </si>
  <si>
    <t>ZŠ Olešská 18, P10</t>
  </si>
  <si>
    <t>ZŠ Omská 6, P10</t>
  </si>
  <si>
    <t>ZŠ Švehlova 2900, P10</t>
  </si>
  <si>
    <t>ZŠ U Roh. kas. 19, P10</t>
  </si>
  <si>
    <t>ZŠ U Vršov. nádr. 950, P10</t>
  </si>
  <si>
    <t>ZŠ V Rybníčkách 31, P10</t>
  </si>
  <si>
    <t>ZŠ Vladivostocká 6, P10</t>
  </si>
  <si>
    <t>Praha 11</t>
  </si>
  <si>
    <t>ZŠ Donovalská 1684, P4</t>
  </si>
  <si>
    <t>ZŠ Jírovcovo n. 1782, P4</t>
  </si>
  <si>
    <t>ZŠ K Milíčovu 674, P4</t>
  </si>
  <si>
    <t>ZŠ Ke Kateřinkám 1400, P4</t>
  </si>
  <si>
    <t>ZŠ Květ.vítězství 1554, P4</t>
  </si>
  <si>
    <t>ZŠ Květ.vítězství 57, P4</t>
  </si>
  <si>
    <t>ZŠ Mendelova 550, P4</t>
  </si>
  <si>
    <t>ZŠ Mikulova 1594, P4</t>
  </si>
  <si>
    <t>ZŠ Pošepného 2022, P4</t>
  </si>
  <si>
    <t>ZŠ V Ladech 6, P4</t>
  </si>
  <si>
    <t>Praha 12</t>
  </si>
  <si>
    <t>ZŠ K Dolům 29, P4</t>
  </si>
  <si>
    <t>ZŠ K Lesu 558, P4</t>
  </si>
  <si>
    <t>ZŠ L.Coňka 40, P4</t>
  </si>
  <si>
    <t>ZŠ Meteorologická 181, P4</t>
  </si>
  <si>
    <t>ZŠ Modřanská 1375, P4</t>
  </si>
  <si>
    <t>ZŠ Mráčkova 3090, P4</t>
  </si>
  <si>
    <t>ZŠ Písnická 11, P4</t>
  </si>
  <si>
    <t>ZŠ Rakovského 3136, P4</t>
  </si>
  <si>
    <t>ZŠ Smolkova 565, P4</t>
  </si>
  <si>
    <t>ZŠ Zárubova 977, P4</t>
  </si>
  <si>
    <t>Praha 13</t>
  </si>
  <si>
    <t>ZŠ Brdičkova 1878, P5</t>
  </si>
  <si>
    <t>ZŠ Bronzová 2027, P5</t>
  </si>
  <si>
    <t>ZŠ Fingerova 2186, P5</t>
  </si>
  <si>
    <t>ZŠ Chlupova 1800, P5</t>
  </si>
  <si>
    <t>ZŠ Jánského 2189, P 5</t>
  </si>
  <si>
    <t>ZŠ Klausova 2450, P5</t>
  </si>
  <si>
    <t>ZŠ Mezi školami 2322, P5</t>
  </si>
  <si>
    <t>ZŠ Mládí 135, P5</t>
  </si>
  <si>
    <t>ZŠ Mohylova 1963, P5</t>
  </si>
  <si>
    <t>ZŠ Od školy 596, P5</t>
  </si>
  <si>
    <t>ZŠ Trávníčkova 1744, P5</t>
  </si>
  <si>
    <t>ZŠ Trávníčkova 1746, P5</t>
  </si>
  <si>
    <t>Praha 14</t>
  </si>
  <si>
    <t>ZŠ Bří Venclíků 1140, P9</t>
  </si>
  <si>
    <t>ZŠ G. Janouška 1006, P9</t>
  </si>
  <si>
    <t>ZŠ Hloubětínská 700, P9</t>
  </si>
  <si>
    <t>ZŠ Chvaletická 918, P9</t>
  </si>
  <si>
    <t>ZŠ Nár. hrdinů 70, P9</t>
  </si>
  <si>
    <t>ZŠ Šimanovská 16, P9</t>
  </si>
  <si>
    <t>ZŠ Vybíralova 964, P9</t>
  </si>
  <si>
    <t>Praha 15</t>
  </si>
  <si>
    <t>ZŠ Bellova 351, P10</t>
  </si>
  <si>
    <t>ZŠ Edisonova 40, P10</t>
  </si>
  <si>
    <t>ZŠ Hornoměchol. 873, P10</t>
  </si>
  <si>
    <t>ZŠ Kozinova 1000, P10</t>
  </si>
  <si>
    <t>ZŠ Křimická 314, P10</t>
  </si>
  <si>
    <t>ZŠ Nad Přehrad. 469, P10</t>
  </si>
  <si>
    <t>ZŠ Starodubečská 413, P10</t>
  </si>
  <si>
    <t>ZŠ Veronské nám.20, P10</t>
  </si>
  <si>
    <t>Praha 16</t>
  </si>
  <si>
    <t>ZŠ Černošická 12, P5</t>
  </si>
  <si>
    <t>ZŠ Hauptova 591, P5</t>
  </si>
  <si>
    <t>ZŠ Loučanská 1112, P5</t>
  </si>
  <si>
    <t>ZŠ Nad parkem 1180, P5</t>
  </si>
  <si>
    <t>ZŠ Starochuch. 240, P5</t>
  </si>
  <si>
    <t>Praha 17</t>
  </si>
  <si>
    <t>ZŠ Laudova 1024, P6</t>
  </si>
  <si>
    <t>ZŠ Nedašovská 328, P5</t>
  </si>
  <si>
    <t>ZŠ Socháňova 1139, P6</t>
  </si>
  <si>
    <t>ZŠ Španielova1111, P6</t>
  </si>
  <si>
    <t>ZŠ Španielova1111, P6 J.W.</t>
  </si>
  <si>
    <t>Praha 18</t>
  </si>
  <si>
    <t>ZŠ Fryčovická 462, P9</t>
  </si>
  <si>
    <t>ZŠ Rychnovská 350, P9</t>
  </si>
  <si>
    <t>ZŠ Tupolevova 525, P9</t>
  </si>
  <si>
    <t>Praha 19</t>
  </si>
  <si>
    <t>ZŠ Albrechtická 732, P9</t>
  </si>
  <si>
    <t>ZŠ K cihelně 137, P9</t>
  </si>
  <si>
    <t>ZŠ nám. J. Berana 500, P9</t>
  </si>
  <si>
    <t>ZŠ Prachovická 340, P9</t>
  </si>
  <si>
    <t>Praha 20</t>
  </si>
  <si>
    <t>ZŠ Chodovická 2250, P9</t>
  </si>
  <si>
    <t>ZŠ Ratibořická 1700, P9</t>
  </si>
  <si>
    <t>ZŠ Spojenců 1408, P9</t>
  </si>
  <si>
    <t>ZŠ Stoliňská 823, P9</t>
  </si>
  <si>
    <t>Praha 21</t>
  </si>
  <si>
    <t>ZŠ Lupenická 20, P9</t>
  </si>
  <si>
    <t>ZŠ Mýtní 73, P9</t>
  </si>
  <si>
    <t>ZŠ Polesná 1690, P9</t>
  </si>
  <si>
    <t>ZŠ Slavětínská 200, P9</t>
  </si>
  <si>
    <t>Praha 22</t>
  </si>
  <si>
    <t>ZŠ Mírová 57, P10</t>
  </si>
  <si>
    <t>ZŠ n. bří Jandusů 2, P10</t>
  </si>
  <si>
    <t>ZŠ Vachkova 630, P10</t>
  </si>
  <si>
    <t>celkem</t>
  </si>
  <si>
    <t xml:space="preserve">Název zařízení                             </t>
  </si>
  <si>
    <t>§ 3231</t>
  </si>
  <si>
    <t>počet. pracov.</t>
  </si>
  <si>
    <t xml:space="preserve">přímé ONIV </t>
  </si>
  <si>
    <t xml:space="preserve">provozní ONIV </t>
  </si>
  <si>
    <t>§ 3421</t>
  </si>
  <si>
    <t>Základní umělecké školy</t>
  </si>
  <si>
    <t>Domy dětí a mládeže</t>
  </si>
  <si>
    <t>§ 3141</t>
  </si>
  <si>
    <t>ŠJ Karmelitská, Praha 1</t>
  </si>
  <si>
    <t>ŠJ Uhelný trh, Praha 1</t>
  </si>
  <si>
    <t>ŠJ Jindřišská, Praha 1</t>
  </si>
  <si>
    <t>ŠJ Dražického, Praha 1</t>
  </si>
  <si>
    <t>ŠJ Zlatnická, Praha 1</t>
  </si>
  <si>
    <t>ŠJ Vojtěšská, Praha 1</t>
  </si>
  <si>
    <t>ŠJ Slovenská, Praha 2</t>
  </si>
  <si>
    <t>ŠJ Kladská, Praha 2</t>
  </si>
  <si>
    <t>ŠJ Sázavská, Praha 2</t>
  </si>
  <si>
    <t>ŠJ Botičská, Praha 2</t>
  </si>
  <si>
    <t>ŠJ Vratislavova, Praha 2</t>
  </si>
  <si>
    <t>ŠJ Sokolská, Praha 2</t>
  </si>
  <si>
    <t>ŠJ Vinohradská, Praha 2</t>
  </si>
  <si>
    <t>ŠJ Resslova, Praha 2</t>
  </si>
  <si>
    <t>ŠJ Na Smetance, Praha 2</t>
  </si>
  <si>
    <t>ŠJ Předškolní, Praha 4 - Kunratice</t>
  </si>
  <si>
    <t>ŠJ E.Přemyslovny, Praha 5-Zbraslav</t>
  </si>
  <si>
    <t>ŠJ Loučanská, Praha 5 - Radotín</t>
  </si>
  <si>
    <t>ŠJ Laudova, Praha 6 - Řepy</t>
  </si>
  <si>
    <t>ŠJ Španielova, Praha 6 - Řepy</t>
  </si>
  <si>
    <t>ŠJ Nad přehradou, Praha 15</t>
  </si>
  <si>
    <t>ŠJ Veronské nám.,Praha 15</t>
  </si>
  <si>
    <t>ŠJ Křimická, Praha 15</t>
  </si>
  <si>
    <t>ŠJ Nové nám. 1100, Praha Uhřin.</t>
  </si>
  <si>
    <t xml:space="preserve">ŠJ Pražačka, P 3 </t>
  </si>
  <si>
    <t>ZUŠ - Opata Konráda 1196,P 5</t>
  </si>
  <si>
    <t>Ch. de Gaulla 18/832</t>
  </si>
  <si>
    <t>Pod Krocínkou 466</t>
  </si>
  <si>
    <t>Nám. Osvob. 1367</t>
  </si>
  <si>
    <t>Urbánkova 3/3347</t>
  </si>
  <si>
    <t>ZŠ Pod Žvahovem 463, P5</t>
  </si>
  <si>
    <t>ZŠ Radlická 140, P5</t>
  </si>
  <si>
    <t>ZŠ U Santošky 1/1007, P5</t>
  </si>
  <si>
    <t>ZŠ IV.V Remízku 919, P5</t>
  </si>
  <si>
    <t>ZŠ Na Dl. Lánu 43, P6</t>
  </si>
  <si>
    <t>ZŠ Nebušická 369, P6</t>
  </si>
  <si>
    <t>ZŠ Angelovova 3183 P4</t>
  </si>
  <si>
    <t>ZŠ Pertoldova 3373, P4</t>
  </si>
  <si>
    <t>ZŠ Kuncova 1580, P5</t>
  </si>
  <si>
    <t>ZŠ U školy 285, P10</t>
  </si>
  <si>
    <t>Příloha č. 12 k usnesení ZHMP č. ze dne</t>
  </si>
  <si>
    <t>Návrh závazných ukazatelů rozpočtu a počtu zaměstnanců škol a školských zařízení zřizovaných městskými částmi hl.m. Prahy na rok 2004</t>
  </si>
  <si>
    <t>FZŠ III.V Remízku 919, P5</t>
  </si>
  <si>
    <t>ZŠ Tusarova 21/790, P7</t>
  </si>
  <si>
    <t>ZŠ Kutnohorská 36/106, P10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</si>
</sst>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_-* #,##0.0\ _K_č_-;\-* #,##0.0\ _K_č_-;_-* &quot;-&quot;??\ _K_č_-;_-@_-"/>
    <numFmt numFmtId="167" formatCode="0.000"/>
    <numFmt numFmtId="168" formatCode="_-* #,##0.0\ _K_č_-;\-* #,##0.0\ _K_č_-;_-* &quot;-&quot;?\ _K_č_-;_-@_-"/>
    <numFmt numFmtId="169" formatCode="_-* #,##0\ _K_č_-;\-* #,##0\ _K_č_-;_-* &quot;-&quot;?\ _K_č_-;_-@_-"/>
    <numFmt numFmtId="170" formatCode="#,##0.000"/>
  </numFmts>
  <fonts count="7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b/>
      <sz val="8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3" fontId="0" fillId="0" borderId="6" xfId="0" applyNumberFormat="1" applyFill="1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Fill="1" applyBorder="1" applyAlignment="1">
      <alignment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0" fontId="1" fillId="0" borderId="9" xfId="0" applyFont="1" applyBorder="1" applyAlignment="1">
      <alignment/>
    </xf>
    <xf numFmtId="0" fontId="0" fillId="0" borderId="3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64" fontId="0" fillId="0" borderId="7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15" xfId="0" applyFill="1" applyBorder="1" applyAlignment="1">
      <alignment/>
    </xf>
    <xf numFmtId="3" fontId="0" fillId="0" borderId="16" xfId="0" applyNumberFormat="1" applyFill="1" applyBorder="1" applyAlignment="1">
      <alignment/>
    </xf>
    <xf numFmtId="164" fontId="0" fillId="0" borderId="17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6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0" fontId="0" fillId="0" borderId="0" xfId="0" applyBorder="1" applyAlignment="1">
      <alignment horizontal="right"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vertical="center"/>
    </xf>
    <xf numFmtId="0" fontId="0" fillId="0" borderId="22" xfId="0" applyBorder="1" applyAlignment="1">
      <alignment/>
    </xf>
    <xf numFmtId="3" fontId="0" fillId="0" borderId="11" xfId="0" applyNumberFormat="1" applyBorder="1" applyAlignment="1">
      <alignment/>
    </xf>
    <xf numFmtId="3" fontId="1" fillId="0" borderId="7" xfId="0" applyNumberFormat="1" applyFont="1" applyBorder="1" applyAlignment="1">
      <alignment/>
    </xf>
    <xf numFmtId="0" fontId="0" fillId="0" borderId="23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6" xfId="0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0" fontId="1" fillId="0" borderId="24" xfId="0" applyFont="1" applyBorder="1" applyAlignment="1">
      <alignment vertical="center"/>
    </xf>
    <xf numFmtId="0" fontId="1" fillId="0" borderId="23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3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164" fontId="0" fillId="0" borderId="4" xfId="0" applyNumberForma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2" xfId="0" applyFill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5" fontId="0" fillId="0" borderId="7" xfId="0" applyNumberFormat="1" applyBorder="1" applyAlignment="1">
      <alignment/>
    </xf>
    <xf numFmtId="3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 horizontal="right"/>
    </xf>
    <xf numFmtId="0" fontId="0" fillId="0" borderId="26" xfId="0" applyFill="1" applyBorder="1" applyAlignment="1">
      <alignment/>
    </xf>
    <xf numFmtId="0" fontId="1" fillId="0" borderId="5" xfId="0" applyFont="1" applyBorder="1" applyAlignment="1">
      <alignment/>
    </xf>
    <xf numFmtId="3" fontId="0" fillId="0" borderId="22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27" xfId="0" applyBorder="1" applyAlignment="1">
      <alignment/>
    </xf>
    <xf numFmtId="3" fontId="0" fillId="0" borderId="27" xfId="0" applyNumberFormat="1" applyBorder="1" applyAlignment="1">
      <alignment/>
    </xf>
    <xf numFmtId="3" fontId="0" fillId="0" borderId="27" xfId="0" applyNumberFormat="1" applyFill="1" applyBorder="1" applyAlignment="1">
      <alignment/>
    </xf>
    <xf numFmtId="165" fontId="0" fillId="0" borderId="28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29" xfId="0" applyNumberFormat="1" applyBorder="1" applyAlignment="1">
      <alignment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/>
    </xf>
    <xf numFmtId="3" fontId="0" fillId="0" borderId="16" xfId="0" applyNumberFormat="1" applyFont="1" applyFill="1" applyBorder="1" applyAlignment="1">
      <alignment horizontal="right" wrapText="1"/>
    </xf>
    <xf numFmtId="0" fontId="1" fillId="0" borderId="15" xfId="0" applyFont="1" applyBorder="1" applyAlignment="1">
      <alignment vertical="center"/>
    </xf>
    <xf numFmtId="0" fontId="1" fillId="0" borderId="30" xfId="0" applyFont="1" applyBorder="1" applyAlignment="1">
      <alignment/>
    </xf>
    <xf numFmtId="3" fontId="1" fillId="0" borderId="22" xfId="0" applyNumberFormat="1" applyFont="1" applyFill="1" applyBorder="1" applyAlignment="1">
      <alignment horizontal="right" wrapText="1"/>
    </xf>
    <xf numFmtId="0" fontId="1" fillId="0" borderId="31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0" fillId="0" borderId="32" xfId="0" applyNumberFormat="1" applyBorder="1" applyAlignment="1">
      <alignment/>
    </xf>
    <xf numFmtId="3" fontId="0" fillId="0" borderId="32" xfId="0" applyNumberFormat="1" applyFill="1" applyBorder="1" applyAlignment="1">
      <alignment/>
    </xf>
    <xf numFmtId="3" fontId="0" fillId="0" borderId="14" xfId="0" applyNumberForma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/>
    </xf>
    <xf numFmtId="0" fontId="0" fillId="0" borderId="16" xfId="0" applyFont="1" applyFill="1" applyBorder="1" applyAlignment="1">
      <alignment horizontal="right" wrapText="1"/>
    </xf>
    <xf numFmtId="0" fontId="1" fillId="0" borderId="5" xfId="0" applyFont="1" applyBorder="1" applyAlignment="1">
      <alignment vertical="center"/>
    </xf>
    <xf numFmtId="0" fontId="1" fillId="0" borderId="19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0" fillId="0" borderId="31" xfId="0" applyFill="1" applyBorder="1" applyAlignment="1">
      <alignment/>
    </xf>
    <xf numFmtId="3" fontId="1" fillId="0" borderId="14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3" xfId="0" applyFont="1" applyFill="1" applyBorder="1" applyAlignment="1">
      <alignment horizontal="center" wrapText="1"/>
    </xf>
    <xf numFmtId="0" fontId="1" fillId="0" borderId="20" xfId="0" applyFont="1" applyBorder="1" applyAlignment="1">
      <alignment/>
    </xf>
    <xf numFmtId="0" fontId="1" fillId="0" borderId="14" xfId="0" applyFont="1" applyBorder="1" applyAlignment="1">
      <alignment/>
    </xf>
    <xf numFmtId="164" fontId="0" fillId="0" borderId="2" xfId="0" applyNumberFormat="1" applyFill="1" applyBorder="1" applyAlignment="1">
      <alignment/>
    </xf>
    <xf numFmtId="0" fontId="5" fillId="0" borderId="0" xfId="0" applyFont="1" applyAlignment="1">
      <alignment/>
    </xf>
    <xf numFmtId="3" fontId="0" fillId="0" borderId="23" xfId="0" applyNumberFormat="1" applyFill="1" applyBorder="1" applyAlignment="1">
      <alignment/>
    </xf>
    <xf numFmtId="0" fontId="1" fillId="0" borderId="9" xfId="0" applyFont="1" applyBorder="1" applyAlignment="1">
      <alignment/>
    </xf>
    <xf numFmtId="0" fontId="0" fillId="0" borderId="35" xfId="0" applyFill="1" applyBorder="1" applyAlignment="1">
      <alignment/>
    </xf>
    <xf numFmtId="0" fontId="1" fillId="0" borderId="15" xfId="0" applyFont="1" applyFill="1" applyBorder="1" applyAlignment="1">
      <alignment/>
    </xf>
    <xf numFmtId="164" fontId="0" fillId="0" borderId="36" xfId="0" applyNumberFormat="1" applyFill="1" applyBorder="1" applyAlignment="1">
      <alignment/>
    </xf>
    <xf numFmtId="0" fontId="0" fillId="0" borderId="37" xfId="0" applyFill="1" applyBorder="1" applyAlignment="1">
      <alignment/>
    </xf>
    <xf numFmtId="164" fontId="0" fillId="0" borderId="38" xfId="0" applyNumberFormat="1" applyFill="1" applyBorder="1" applyAlignment="1">
      <alignment/>
    </xf>
    <xf numFmtId="0" fontId="1" fillId="0" borderId="26" xfId="0" applyFont="1" applyBorder="1" applyAlignment="1">
      <alignment/>
    </xf>
    <xf numFmtId="0" fontId="0" fillId="0" borderId="9" xfId="0" applyFill="1" applyBorder="1" applyAlignment="1">
      <alignment/>
    </xf>
    <xf numFmtId="0" fontId="0" fillId="0" borderId="39" xfId="0" applyFill="1" applyBorder="1" applyAlignment="1">
      <alignment/>
    </xf>
    <xf numFmtId="164" fontId="0" fillId="0" borderId="28" xfId="0" applyNumberFormat="1" applyFill="1" applyBorder="1" applyAlignment="1">
      <alignment/>
    </xf>
    <xf numFmtId="0" fontId="0" fillId="0" borderId="20" xfId="0" applyFont="1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/>
    </xf>
    <xf numFmtId="165" fontId="0" fillId="0" borderId="6" xfId="0" applyNumberFormat="1" applyBorder="1" applyAlignment="1">
      <alignment/>
    </xf>
    <xf numFmtId="0" fontId="1" fillId="0" borderId="8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3" fontId="1" fillId="0" borderId="40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40" xfId="0" applyBorder="1" applyAlignment="1">
      <alignment/>
    </xf>
    <xf numFmtId="0" fontId="1" fillId="0" borderId="37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3" fontId="0" fillId="0" borderId="21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165" fontId="0" fillId="0" borderId="13" xfId="0" applyNumberFormat="1" applyBorder="1" applyAlignment="1">
      <alignment/>
    </xf>
    <xf numFmtId="0" fontId="1" fillId="0" borderId="9" xfId="0" applyFont="1" applyBorder="1" applyAlignment="1">
      <alignment horizontal="left" vertical="center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0" fillId="0" borderId="40" xfId="0" applyNumberFormat="1" applyBorder="1" applyAlignment="1">
      <alignment/>
    </xf>
    <xf numFmtId="164" fontId="0" fillId="0" borderId="33" xfId="0" applyNumberFormat="1" applyBorder="1" applyAlignment="1">
      <alignment/>
    </xf>
    <xf numFmtId="2" fontId="0" fillId="0" borderId="0" xfId="0" applyNumberFormat="1" applyAlignment="1">
      <alignment/>
    </xf>
    <xf numFmtId="3" fontId="0" fillId="0" borderId="19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3" fontId="0" fillId="0" borderId="42" xfId="0" applyNumberFormat="1" applyFill="1" applyBorder="1" applyAlignment="1">
      <alignment/>
    </xf>
    <xf numFmtId="3" fontId="0" fillId="0" borderId="30" xfId="0" applyNumberFormat="1" applyFill="1" applyBorder="1" applyAlignment="1">
      <alignment horizontal="right"/>
    </xf>
    <xf numFmtId="3" fontId="0" fillId="0" borderId="43" xfId="0" applyNumberFormat="1" applyFill="1" applyBorder="1" applyAlignment="1">
      <alignment/>
    </xf>
    <xf numFmtId="3" fontId="0" fillId="0" borderId="44" xfId="0" applyNumberFormat="1" applyFill="1" applyBorder="1" applyAlignment="1">
      <alignment/>
    </xf>
    <xf numFmtId="165" fontId="0" fillId="0" borderId="41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45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1" fillId="0" borderId="0" xfId="0" applyFont="1" applyAlignment="1">
      <alignment/>
    </xf>
    <xf numFmtId="0" fontId="1" fillId="0" borderId="46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3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4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 horizontal="center"/>
    </xf>
    <xf numFmtId="0" fontId="0" fillId="0" borderId="40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164" fontId="0" fillId="0" borderId="45" xfId="0" applyNumberFormat="1" applyFill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5"/>
  <sheetViews>
    <sheetView tabSelected="1" zoomScale="75" zoomScaleNormal="75" workbookViewId="0" topLeftCell="A1">
      <selection activeCell="A315" sqref="A315"/>
    </sheetView>
  </sheetViews>
  <sheetFormatPr defaultColWidth="9.00390625" defaultRowHeight="12.75"/>
  <cols>
    <col min="1" max="1" width="28.75390625" style="0" customWidth="1"/>
    <col min="2" max="2" width="13.00390625" style="0" customWidth="1"/>
    <col min="3" max="3" width="11.25390625" style="0" customWidth="1"/>
    <col min="4" max="4" width="11.00390625" style="0" customWidth="1"/>
    <col min="5" max="5" width="10.375" style="0" customWidth="1"/>
    <col min="6" max="6" width="12.625" style="0" customWidth="1"/>
    <col min="7" max="7" width="10.875" style="0" customWidth="1"/>
    <col min="8" max="8" width="11.25390625" style="0" customWidth="1"/>
    <col min="9" max="9" width="11.875" style="0" customWidth="1"/>
    <col min="10" max="10" width="6.125" style="0" customWidth="1"/>
    <col min="11" max="11" width="9.75390625" style="0" customWidth="1"/>
    <col min="12" max="12" width="7.625" style="0" customWidth="1"/>
  </cols>
  <sheetData>
    <row r="1" ht="12.75">
      <c r="F1" s="181" t="s">
        <v>578</v>
      </c>
    </row>
    <row r="3" ht="12.75">
      <c r="A3" s="184" t="s">
        <v>579</v>
      </c>
    </row>
    <row r="4" ht="13.5" thickBot="1">
      <c r="A4" s="184"/>
    </row>
    <row r="5" spans="1:9" ht="12.75" customHeight="1">
      <c r="A5" s="185" t="s">
        <v>297</v>
      </c>
      <c r="B5" s="190" t="s">
        <v>0</v>
      </c>
      <c r="C5" s="190" t="s">
        <v>17</v>
      </c>
      <c r="D5" s="200" t="s">
        <v>18</v>
      </c>
      <c r="E5" s="201"/>
      <c r="F5" s="201"/>
      <c r="G5" s="201"/>
      <c r="H5" s="201"/>
      <c r="I5" s="202"/>
    </row>
    <row r="6" spans="1:9" ht="26.25" thickBot="1">
      <c r="A6" s="215"/>
      <c r="B6" s="214"/>
      <c r="C6" s="214"/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2" t="s">
        <v>9</v>
      </c>
    </row>
    <row r="7" spans="1:9" ht="12.75">
      <c r="A7" s="56" t="s">
        <v>19</v>
      </c>
      <c r="B7" s="57"/>
      <c r="C7" s="113"/>
      <c r="D7" s="30"/>
      <c r="E7" s="30"/>
      <c r="F7" s="30"/>
      <c r="G7" s="30"/>
      <c r="H7" s="30"/>
      <c r="I7" s="114"/>
    </row>
    <row r="8" spans="1:9" ht="12.75">
      <c r="A8" s="47" t="s">
        <v>20</v>
      </c>
      <c r="B8" s="58"/>
      <c r="C8" s="57"/>
      <c r="D8" s="108"/>
      <c r="E8" s="108"/>
      <c r="F8" s="108"/>
      <c r="G8" s="108"/>
      <c r="H8" s="108"/>
      <c r="I8" s="109"/>
    </row>
    <row r="9" spans="1:11" ht="12.75">
      <c r="A9" s="5" t="s">
        <v>21</v>
      </c>
      <c r="B9" s="6">
        <v>67365957</v>
      </c>
      <c r="C9" s="61">
        <v>3111</v>
      </c>
      <c r="D9" s="16">
        <v>2422</v>
      </c>
      <c r="E9" s="16">
        <v>4</v>
      </c>
      <c r="F9" s="16">
        <v>907</v>
      </c>
      <c r="G9" s="16">
        <v>24</v>
      </c>
      <c r="H9" s="38">
        <f aca="true" t="shared" si="0" ref="H9:H16">SUM(D9:G9)</f>
        <v>3357</v>
      </c>
      <c r="I9" s="68">
        <v>16.5</v>
      </c>
      <c r="K9" s="172"/>
    </row>
    <row r="10" spans="1:11" ht="12.75">
      <c r="A10" s="5" t="s">
        <v>22</v>
      </c>
      <c r="B10" s="6">
        <v>70109711</v>
      </c>
      <c r="C10" s="61">
        <v>3111</v>
      </c>
      <c r="D10" s="7">
        <v>1318</v>
      </c>
      <c r="E10" s="7">
        <v>0</v>
      </c>
      <c r="F10" s="7">
        <v>493</v>
      </c>
      <c r="G10" s="7">
        <v>13</v>
      </c>
      <c r="H10" s="173">
        <f t="shared" si="0"/>
        <v>1824</v>
      </c>
      <c r="I10" s="68">
        <v>8.7</v>
      </c>
      <c r="K10" s="172"/>
    </row>
    <row r="11" spans="1:11" ht="12.75">
      <c r="A11" s="5" t="s">
        <v>23</v>
      </c>
      <c r="B11" s="6">
        <v>70101205</v>
      </c>
      <c r="C11" s="61">
        <v>3111</v>
      </c>
      <c r="D11" s="7">
        <v>1236</v>
      </c>
      <c r="E11" s="7">
        <v>6</v>
      </c>
      <c r="F11" s="7">
        <v>464</v>
      </c>
      <c r="G11" s="7">
        <v>14</v>
      </c>
      <c r="H11" s="173">
        <f t="shared" si="0"/>
        <v>1720</v>
      </c>
      <c r="I11" s="68">
        <v>9.5</v>
      </c>
      <c r="K11" s="172"/>
    </row>
    <row r="12" spans="1:11" ht="12.75">
      <c r="A12" s="5" t="s">
        <v>24</v>
      </c>
      <c r="B12" s="6">
        <v>63832925</v>
      </c>
      <c r="C12" s="61">
        <v>3111</v>
      </c>
      <c r="D12" s="7">
        <v>3299</v>
      </c>
      <c r="E12" s="7">
        <v>23</v>
      </c>
      <c r="F12" s="7">
        <v>1242</v>
      </c>
      <c r="G12" s="7">
        <v>31</v>
      </c>
      <c r="H12" s="173">
        <f t="shared" si="0"/>
        <v>4595</v>
      </c>
      <c r="I12" s="68">
        <v>21.8</v>
      </c>
      <c r="K12" s="172"/>
    </row>
    <row r="13" spans="1:11" ht="12.75">
      <c r="A13" s="5" t="s">
        <v>25</v>
      </c>
      <c r="B13" s="6">
        <v>67365949</v>
      </c>
      <c r="C13" s="61">
        <v>3111</v>
      </c>
      <c r="D13" s="7">
        <v>1474</v>
      </c>
      <c r="E13" s="7">
        <v>6</v>
      </c>
      <c r="F13" s="7">
        <v>553</v>
      </c>
      <c r="G13" s="7">
        <v>17</v>
      </c>
      <c r="H13" s="173">
        <f t="shared" si="0"/>
        <v>2050</v>
      </c>
      <c r="I13" s="68">
        <v>9.8</v>
      </c>
      <c r="K13" s="172"/>
    </row>
    <row r="14" spans="1:11" ht="12.75">
      <c r="A14" s="5" t="s">
        <v>26</v>
      </c>
      <c r="B14" s="6">
        <v>63832917</v>
      </c>
      <c r="C14" s="61">
        <v>3111</v>
      </c>
      <c r="D14" s="7">
        <v>1624</v>
      </c>
      <c r="E14" s="7">
        <v>3</v>
      </c>
      <c r="F14" s="7">
        <v>608</v>
      </c>
      <c r="G14" s="7">
        <v>19</v>
      </c>
      <c r="H14" s="173">
        <f t="shared" si="0"/>
        <v>2254</v>
      </c>
      <c r="I14" s="68">
        <v>11.8</v>
      </c>
      <c r="K14" s="172"/>
    </row>
    <row r="15" spans="1:11" ht="12.75">
      <c r="A15" s="5" t="s">
        <v>27</v>
      </c>
      <c r="B15" s="6">
        <v>70108811</v>
      </c>
      <c r="C15" s="61">
        <v>3111</v>
      </c>
      <c r="D15" s="7">
        <v>887</v>
      </c>
      <c r="E15" s="7">
        <v>0</v>
      </c>
      <c r="F15" s="7">
        <v>332</v>
      </c>
      <c r="G15" s="7">
        <v>8</v>
      </c>
      <c r="H15" s="173">
        <f t="shared" si="0"/>
        <v>1227</v>
      </c>
      <c r="I15" s="68">
        <v>6.2</v>
      </c>
      <c r="K15" s="172"/>
    </row>
    <row r="16" spans="1:11" ht="12.75">
      <c r="A16" s="5" t="s">
        <v>28</v>
      </c>
      <c r="B16" s="6">
        <v>63832909</v>
      </c>
      <c r="C16" s="61">
        <v>3111</v>
      </c>
      <c r="D16" s="35">
        <v>1904</v>
      </c>
      <c r="E16" s="35">
        <v>9</v>
      </c>
      <c r="F16" s="35">
        <v>715</v>
      </c>
      <c r="G16" s="35">
        <v>19</v>
      </c>
      <c r="H16" s="174">
        <f t="shared" si="0"/>
        <v>2647</v>
      </c>
      <c r="I16" s="68">
        <v>13.3</v>
      </c>
      <c r="K16" s="172"/>
    </row>
    <row r="17" spans="1:11" ht="12.75">
      <c r="A17" s="63" t="s">
        <v>29</v>
      </c>
      <c r="B17" s="64"/>
      <c r="C17" s="65"/>
      <c r="D17" s="66"/>
      <c r="E17" s="66"/>
      <c r="F17" s="66"/>
      <c r="G17" s="66"/>
      <c r="H17" s="66"/>
      <c r="I17" s="68"/>
      <c r="K17" s="172"/>
    </row>
    <row r="18" spans="1:11" ht="12.75">
      <c r="A18" s="5" t="s">
        <v>30</v>
      </c>
      <c r="B18" s="6">
        <v>70107769</v>
      </c>
      <c r="C18" s="61">
        <v>3111</v>
      </c>
      <c r="D18" s="16">
        <v>2399</v>
      </c>
      <c r="E18" s="16">
        <v>0</v>
      </c>
      <c r="F18" s="16">
        <v>897</v>
      </c>
      <c r="G18" s="16">
        <v>24</v>
      </c>
      <c r="H18" s="38">
        <f aca="true" t="shared" si="1" ref="H18:H33">SUM(D18:G18)</f>
        <v>3320</v>
      </c>
      <c r="I18" s="68">
        <v>15.8</v>
      </c>
      <c r="K18" s="172"/>
    </row>
    <row r="19" spans="1:11" ht="12.75">
      <c r="A19" s="5" t="s">
        <v>31</v>
      </c>
      <c r="B19" s="6">
        <v>70107581</v>
      </c>
      <c r="C19" s="61">
        <v>3111</v>
      </c>
      <c r="D19" s="7">
        <v>1640</v>
      </c>
      <c r="E19" s="7">
        <v>29</v>
      </c>
      <c r="F19" s="7">
        <v>623</v>
      </c>
      <c r="G19" s="7">
        <v>14</v>
      </c>
      <c r="H19" s="173">
        <f t="shared" si="1"/>
        <v>2306</v>
      </c>
      <c r="I19" s="68">
        <v>10.7</v>
      </c>
      <c r="K19" s="172"/>
    </row>
    <row r="20" spans="1:11" ht="12.75">
      <c r="A20" s="5" t="s">
        <v>32</v>
      </c>
      <c r="B20" s="6">
        <v>70107718</v>
      </c>
      <c r="C20" s="61">
        <v>3111</v>
      </c>
      <c r="D20" s="7">
        <v>1358</v>
      </c>
      <c r="E20" s="7">
        <v>0</v>
      </c>
      <c r="F20" s="7">
        <v>508</v>
      </c>
      <c r="G20" s="7">
        <v>13</v>
      </c>
      <c r="H20" s="173">
        <f t="shared" si="1"/>
        <v>1879</v>
      </c>
      <c r="I20" s="68">
        <v>9.1</v>
      </c>
      <c r="K20" s="172"/>
    </row>
    <row r="21" spans="1:11" ht="12.75">
      <c r="A21" s="5" t="s">
        <v>33</v>
      </c>
      <c r="B21" s="6">
        <v>70107785</v>
      </c>
      <c r="C21" s="61">
        <v>3111</v>
      </c>
      <c r="D21" s="7">
        <v>2354</v>
      </c>
      <c r="E21" s="7">
        <v>0</v>
      </c>
      <c r="F21" s="7">
        <v>880</v>
      </c>
      <c r="G21" s="7">
        <v>26</v>
      </c>
      <c r="H21" s="173">
        <f t="shared" si="1"/>
        <v>3260</v>
      </c>
      <c r="I21" s="68">
        <v>16</v>
      </c>
      <c r="K21" s="172"/>
    </row>
    <row r="22" spans="1:11" ht="12.75">
      <c r="A22" s="5" t="s">
        <v>34</v>
      </c>
      <c r="B22" s="6">
        <v>70107777</v>
      </c>
      <c r="C22" s="61">
        <v>3111</v>
      </c>
      <c r="D22" s="7">
        <v>2729</v>
      </c>
      <c r="E22" s="7">
        <v>0</v>
      </c>
      <c r="F22" s="7">
        <v>1021</v>
      </c>
      <c r="G22" s="7">
        <v>27</v>
      </c>
      <c r="H22" s="173">
        <f t="shared" si="1"/>
        <v>3777</v>
      </c>
      <c r="I22" s="68">
        <v>20</v>
      </c>
      <c r="K22" s="172"/>
    </row>
    <row r="23" spans="1:11" ht="12.75">
      <c r="A23" s="5" t="s">
        <v>35</v>
      </c>
      <c r="B23" s="6">
        <v>70107815</v>
      </c>
      <c r="C23" s="61">
        <v>3111</v>
      </c>
      <c r="D23" s="7">
        <v>2140</v>
      </c>
      <c r="E23" s="7">
        <v>0</v>
      </c>
      <c r="F23" s="7">
        <v>800</v>
      </c>
      <c r="G23" s="7">
        <v>21</v>
      </c>
      <c r="H23" s="173">
        <f t="shared" si="1"/>
        <v>2961</v>
      </c>
      <c r="I23" s="68">
        <v>14.3</v>
      </c>
      <c r="K23" s="172"/>
    </row>
    <row r="24" spans="1:11" ht="12.75">
      <c r="A24" s="15" t="s">
        <v>36</v>
      </c>
      <c r="B24" s="61">
        <v>70107637</v>
      </c>
      <c r="C24" s="61">
        <v>3111</v>
      </c>
      <c r="D24" s="67">
        <v>1870</v>
      </c>
      <c r="E24" s="67">
        <v>0</v>
      </c>
      <c r="F24" s="67">
        <v>699</v>
      </c>
      <c r="G24" s="67">
        <v>19</v>
      </c>
      <c r="H24" s="173">
        <f t="shared" si="1"/>
        <v>2588</v>
      </c>
      <c r="I24" s="68">
        <v>12.7</v>
      </c>
      <c r="K24" s="172"/>
    </row>
    <row r="25" spans="1:11" ht="12.75">
      <c r="A25" s="22" t="s">
        <v>37</v>
      </c>
      <c r="B25" s="24">
        <v>70107572</v>
      </c>
      <c r="C25" s="61">
        <v>3111</v>
      </c>
      <c r="D25" s="39">
        <v>2091</v>
      </c>
      <c r="E25" s="24">
        <v>0</v>
      </c>
      <c r="F25" s="24">
        <v>782</v>
      </c>
      <c r="G25" s="24">
        <v>20</v>
      </c>
      <c r="H25" s="173">
        <f t="shared" si="1"/>
        <v>2893</v>
      </c>
      <c r="I25" s="68">
        <v>14.6</v>
      </c>
      <c r="K25" s="172"/>
    </row>
    <row r="26" spans="1:11" ht="12.75">
      <c r="A26" s="22" t="s">
        <v>38</v>
      </c>
      <c r="B26" s="24">
        <v>70107793</v>
      </c>
      <c r="C26" s="61">
        <v>3111</v>
      </c>
      <c r="D26" s="39">
        <v>3310</v>
      </c>
      <c r="E26" s="24">
        <v>6</v>
      </c>
      <c r="F26" s="24">
        <v>1240</v>
      </c>
      <c r="G26" s="24">
        <v>34</v>
      </c>
      <c r="H26" s="173">
        <f t="shared" si="1"/>
        <v>4590</v>
      </c>
      <c r="I26" s="68">
        <v>22</v>
      </c>
      <c r="K26" s="172"/>
    </row>
    <row r="27" spans="1:11" ht="12.75">
      <c r="A27" s="22" t="s">
        <v>39</v>
      </c>
      <c r="B27" s="24">
        <v>70108226</v>
      </c>
      <c r="C27" s="61">
        <v>3111</v>
      </c>
      <c r="D27" s="39">
        <v>1977</v>
      </c>
      <c r="E27" s="24">
        <v>0</v>
      </c>
      <c r="F27" s="24">
        <v>739</v>
      </c>
      <c r="G27" s="24">
        <v>23</v>
      </c>
      <c r="H27" s="173">
        <f t="shared" si="1"/>
        <v>2739</v>
      </c>
      <c r="I27" s="68">
        <v>14</v>
      </c>
      <c r="K27" s="172"/>
    </row>
    <row r="28" spans="1:11" ht="12.75">
      <c r="A28" s="22" t="s">
        <v>40</v>
      </c>
      <c r="B28" s="24">
        <v>70108170</v>
      </c>
      <c r="C28" s="61">
        <v>3111</v>
      </c>
      <c r="D28" s="39">
        <v>2015</v>
      </c>
      <c r="E28" s="24">
        <v>19</v>
      </c>
      <c r="F28" s="24">
        <v>761</v>
      </c>
      <c r="G28" s="24">
        <v>22</v>
      </c>
      <c r="H28" s="173">
        <f t="shared" si="1"/>
        <v>2817</v>
      </c>
      <c r="I28" s="68">
        <v>13.5</v>
      </c>
      <c r="K28" s="172"/>
    </row>
    <row r="29" spans="1:11" ht="12.75">
      <c r="A29" s="22" t="s">
        <v>41</v>
      </c>
      <c r="B29" s="24">
        <v>70107645</v>
      </c>
      <c r="C29" s="61">
        <v>3111</v>
      </c>
      <c r="D29" s="39">
        <v>2032</v>
      </c>
      <c r="E29" s="24">
        <v>0</v>
      </c>
      <c r="F29" s="24">
        <v>760</v>
      </c>
      <c r="G29" s="24">
        <v>22</v>
      </c>
      <c r="H29" s="173">
        <f t="shared" si="1"/>
        <v>2814</v>
      </c>
      <c r="I29" s="68">
        <v>13.9</v>
      </c>
      <c r="K29" s="172"/>
    </row>
    <row r="30" spans="1:11" ht="12.75">
      <c r="A30" s="22" t="s">
        <v>42</v>
      </c>
      <c r="B30" s="24">
        <v>70107751</v>
      </c>
      <c r="C30" s="61">
        <v>3111</v>
      </c>
      <c r="D30" s="39">
        <v>1482</v>
      </c>
      <c r="E30" s="24">
        <v>0</v>
      </c>
      <c r="F30" s="24">
        <v>554</v>
      </c>
      <c r="G30" s="24">
        <v>17</v>
      </c>
      <c r="H30" s="173">
        <f t="shared" si="1"/>
        <v>2053</v>
      </c>
      <c r="I30" s="68">
        <v>10.5</v>
      </c>
      <c r="K30" s="172"/>
    </row>
    <row r="31" spans="1:11" ht="12.75">
      <c r="A31" s="22" t="s">
        <v>43</v>
      </c>
      <c r="B31" s="24">
        <v>70107564</v>
      </c>
      <c r="C31" s="61">
        <v>3111</v>
      </c>
      <c r="D31" s="24">
        <v>1103</v>
      </c>
      <c r="E31" s="24">
        <v>0</v>
      </c>
      <c r="F31" s="24">
        <v>413</v>
      </c>
      <c r="G31" s="24">
        <v>10</v>
      </c>
      <c r="H31" s="173">
        <f t="shared" si="1"/>
        <v>1526</v>
      </c>
      <c r="I31" s="68">
        <v>7.3</v>
      </c>
      <c r="K31" s="172"/>
    </row>
    <row r="32" spans="1:11" ht="12.75">
      <c r="A32" s="22" t="s">
        <v>44</v>
      </c>
      <c r="B32" s="24">
        <v>70107742</v>
      </c>
      <c r="C32" s="61">
        <v>3111</v>
      </c>
      <c r="D32" s="39">
        <v>1938</v>
      </c>
      <c r="E32" s="24">
        <v>6</v>
      </c>
      <c r="F32" s="24">
        <v>727</v>
      </c>
      <c r="G32" s="24">
        <v>22</v>
      </c>
      <c r="H32" s="173">
        <f t="shared" si="1"/>
        <v>2693</v>
      </c>
      <c r="I32" s="68">
        <v>12.2</v>
      </c>
      <c r="K32" s="172"/>
    </row>
    <row r="33" spans="1:11" ht="12.75">
      <c r="A33" s="22" t="s">
        <v>45</v>
      </c>
      <c r="B33" s="24">
        <v>70107726</v>
      </c>
      <c r="C33" s="61">
        <v>3111</v>
      </c>
      <c r="D33" s="42">
        <v>1575</v>
      </c>
      <c r="E33" s="41">
        <v>21</v>
      </c>
      <c r="F33" s="41">
        <v>596</v>
      </c>
      <c r="G33" s="41">
        <v>17</v>
      </c>
      <c r="H33" s="174">
        <f t="shared" si="1"/>
        <v>2209</v>
      </c>
      <c r="I33" s="68">
        <v>10.9</v>
      </c>
      <c r="K33" s="172"/>
    </row>
    <row r="34" spans="1:11" ht="12.75">
      <c r="A34" s="63" t="s">
        <v>46</v>
      </c>
      <c r="B34" s="64"/>
      <c r="C34" s="65"/>
      <c r="D34" s="66"/>
      <c r="E34" s="66"/>
      <c r="F34" s="66"/>
      <c r="G34" s="66"/>
      <c r="H34" s="66"/>
      <c r="I34" s="68"/>
      <c r="K34" s="172"/>
    </row>
    <row r="35" spans="1:11" ht="12.75">
      <c r="A35" s="22" t="s">
        <v>47</v>
      </c>
      <c r="B35" s="24">
        <v>65994027</v>
      </c>
      <c r="C35" s="6">
        <v>3111</v>
      </c>
      <c r="D35" s="52">
        <v>2612</v>
      </c>
      <c r="E35" s="23">
        <v>12</v>
      </c>
      <c r="F35" s="23">
        <v>1047</v>
      </c>
      <c r="G35" s="23">
        <v>19</v>
      </c>
      <c r="H35" s="38">
        <f>SUM(D35:G35)</f>
        <v>3690</v>
      </c>
      <c r="I35" s="68">
        <v>16.3</v>
      </c>
      <c r="K35" s="172"/>
    </row>
    <row r="36" spans="1:11" ht="12.75">
      <c r="A36" s="22" t="s">
        <v>296</v>
      </c>
      <c r="B36" s="24">
        <v>70921580</v>
      </c>
      <c r="C36" s="61">
        <v>3111</v>
      </c>
      <c r="D36" s="39">
        <v>1905</v>
      </c>
      <c r="E36" s="24">
        <v>6</v>
      </c>
      <c r="F36" s="24">
        <v>714</v>
      </c>
      <c r="G36" s="24">
        <v>21</v>
      </c>
      <c r="H36" s="173">
        <f>SUM(D36:G36)</f>
        <v>2646</v>
      </c>
      <c r="I36" s="68">
        <v>13.2</v>
      </c>
      <c r="K36" s="172"/>
    </row>
    <row r="37" spans="1:11" ht="12.75">
      <c r="A37" s="22" t="s">
        <v>48</v>
      </c>
      <c r="B37" s="24">
        <v>70885397</v>
      </c>
      <c r="C37" s="61">
        <v>3111</v>
      </c>
      <c r="D37" s="39">
        <v>1834</v>
      </c>
      <c r="E37" s="24">
        <v>0</v>
      </c>
      <c r="F37" s="24">
        <v>686</v>
      </c>
      <c r="G37" s="24">
        <v>21</v>
      </c>
      <c r="H37" s="173">
        <f>SUM(D37:G37)</f>
        <v>2541</v>
      </c>
      <c r="I37" s="68">
        <v>12.3</v>
      </c>
      <c r="K37" s="172"/>
    </row>
    <row r="38" spans="1:11" ht="13.5" thickBot="1">
      <c r="A38" s="25" t="s">
        <v>49</v>
      </c>
      <c r="B38" s="26">
        <v>70920613</v>
      </c>
      <c r="C38" s="28">
        <v>3111</v>
      </c>
      <c r="D38" s="69">
        <v>1917</v>
      </c>
      <c r="E38" s="26">
        <v>0</v>
      </c>
      <c r="F38" s="26">
        <v>717</v>
      </c>
      <c r="G38" s="26">
        <v>22</v>
      </c>
      <c r="H38" s="175">
        <f>SUM(D38:G38)</f>
        <v>2656</v>
      </c>
      <c r="I38" s="70">
        <v>12.6</v>
      </c>
      <c r="K38" s="172"/>
    </row>
    <row r="39" spans="1:11" ht="12.75">
      <c r="A39" s="19"/>
      <c r="B39" s="19"/>
      <c r="C39" s="19"/>
      <c r="D39" s="37"/>
      <c r="E39" s="19"/>
      <c r="F39" s="19"/>
      <c r="G39" s="19"/>
      <c r="H39" s="32"/>
      <c r="I39" s="71"/>
      <c r="K39" s="172"/>
    </row>
    <row r="40" spans="1:11" ht="12.75">
      <c r="A40" s="19"/>
      <c r="B40" s="19"/>
      <c r="C40" s="19"/>
      <c r="D40" s="37"/>
      <c r="E40" s="19"/>
      <c r="F40" s="19"/>
      <c r="G40" s="19"/>
      <c r="H40" s="32"/>
      <c r="I40" s="71"/>
      <c r="K40" s="172"/>
    </row>
    <row r="41" spans="1:11" ht="13.5" thickBot="1">
      <c r="A41" s="29"/>
      <c r="B41" s="29"/>
      <c r="C41" s="29"/>
      <c r="D41" s="32"/>
      <c r="E41" s="32"/>
      <c r="F41" s="72"/>
      <c r="G41" s="32"/>
      <c r="H41" s="32"/>
      <c r="I41" s="32"/>
      <c r="K41" s="172"/>
    </row>
    <row r="42" spans="1:11" ht="12.75" customHeight="1">
      <c r="A42" s="185" t="s">
        <v>297</v>
      </c>
      <c r="B42" s="187" t="s">
        <v>0</v>
      </c>
      <c r="C42" s="190" t="s">
        <v>17</v>
      </c>
      <c r="D42" s="187" t="s">
        <v>18</v>
      </c>
      <c r="E42" s="187"/>
      <c r="F42" s="187"/>
      <c r="G42" s="187"/>
      <c r="H42" s="187"/>
      <c r="I42" s="189"/>
      <c r="K42" s="172"/>
    </row>
    <row r="43" spans="1:11" ht="26.25" thickBot="1">
      <c r="A43" s="186"/>
      <c r="B43" s="188"/>
      <c r="C43" s="191"/>
      <c r="D43" s="1" t="s">
        <v>2</v>
      </c>
      <c r="E43" s="1" t="s">
        <v>3</v>
      </c>
      <c r="F43" s="1" t="s">
        <v>4</v>
      </c>
      <c r="G43" s="1" t="s">
        <v>5</v>
      </c>
      <c r="H43" s="1" t="s">
        <v>6</v>
      </c>
      <c r="I43" s="2" t="s">
        <v>9</v>
      </c>
      <c r="K43" s="172"/>
    </row>
    <row r="44" spans="1:11" ht="12.75">
      <c r="A44" s="22" t="s">
        <v>564</v>
      </c>
      <c r="B44" s="24">
        <v>70945276</v>
      </c>
      <c r="C44" s="61">
        <v>3111</v>
      </c>
      <c r="D44" s="39">
        <v>1069</v>
      </c>
      <c r="E44" s="39">
        <v>0</v>
      </c>
      <c r="F44" s="39">
        <v>400</v>
      </c>
      <c r="G44" s="39">
        <v>10</v>
      </c>
      <c r="H44" s="173">
        <f aca="true" t="shared" si="2" ref="H44:H61">SUM(D44:G44)</f>
        <v>1479</v>
      </c>
      <c r="I44" s="81">
        <v>7.3</v>
      </c>
      <c r="K44" s="172"/>
    </row>
    <row r="45" spans="1:11" ht="12.75">
      <c r="A45" s="22" t="s">
        <v>50</v>
      </c>
      <c r="B45" s="24">
        <v>70885419</v>
      </c>
      <c r="C45" s="61">
        <v>3111</v>
      </c>
      <c r="D45" s="39">
        <v>2185</v>
      </c>
      <c r="E45" s="39">
        <v>20</v>
      </c>
      <c r="F45" s="39">
        <v>824</v>
      </c>
      <c r="G45" s="39">
        <v>23</v>
      </c>
      <c r="H45" s="173">
        <f t="shared" si="2"/>
        <v>3052</v>
      </c>
      <c r="I45" s="68">
        <v>15</v>
      </c>
      <c r="K45" s="172"/>
    </row>
    <row r="46" spans="1:11" ht="12.75">
      <c r="A46" s="73" t="s">
        <v>51</v>
      </c>
      <c r="B46" s="24">
        <v>70992223</v>
      </c>
      <c r="C46" s="61">
        <v>3111</v>
      </c>
      <c r="D46" s="39">
        <v>1503</v>
      </c>
      <c r="E46" s="39">
        <v>2</v>
      </c>
      <c r="F46" s="39">
        <v>563</v>
      </c>
      <c r="G46" s="39">
        <v>17</v>
      </c>
      <c r="H46" s="173">
        <f t="shared" si="2"/>
        <v>2085</v>
      </c>
      <c r="I46" s="68">
        <v>10</v>
      </c>
      <c r="K46" s="172"/>
    </row>
    <row r="47" spans="1:11" ht="12.75">
      <c r="A47" s="22" t="s">
        <v>52</v>
      </c>
      <c r="B47" s="24">
        <v>70886857</v>
      </c>
      <c r="C47" s="61">
        <v>3111</v>
      </c>
      <c r="D47" s="39">
        <v>1954</v>
      </c>
      <c r="E47" s="39">
        <v>14</v>
      </c>
      <c r="F47" s="39">
        <v>736</v>
      </c>
      <c r="G47" s="39">
        <v>22</v>
      </c>
      <c r="H47" s="173">
        <f t="shared" si="2"/>
        <v>2726</v>
      </c>
      <c r="I47" s="68">
        <v>12.8</v>
      </c>
      <c r="K47" s="172"/>
    </row>
    <row r="48" spans="1:11" ht="12.75">
      <c r="A48" s="22" t="s">
        <v>53</v>
      </c>
      <c r="B48" s="24">
        <v>70942676</v>
      </c>
      <c r="C48" s="61">
        <v>3111</v>
      </c>
      <c r="D48" s="39">
        <v>1957</v>
      </c>
      <c r="E48" s="39">
        <v>0</v>
      </c>
      <c r="F48" s="39">
        <v>732</v>
      </c>
      <c r="G48" s="39">
        <v>21</v>
      </c>
      <c r="H48" s="173">
        <f t="shared" si="2"/>
        <v>2710</v>
      </c>
      <c r="I48" s="68">
        <v>13.9</v>
      </c>
      <c r="K48" s="172"/>
    </row>
    <row r="49" spans="1:11" ht="12.75">
      <c r="A49" s="73" t="s">
        <v>54</v>
      </c>
      <c r="B49" s="24">
        <v>70992231</v>
      </c>
      <c r="C49" s="61">
        <v>3111</v>
      </c>
      <c r="D49" s="39">
        <v>965</v>
      </c>
      <c r="E49" s="39">
        <v>0</v>
      </c>
      <c r="F49" s="39">
        <v>361</v>
      </c>
      <c r="G49" s="39">
        <v>12</v>
      </c>
      <c r="H49" s="173">
        <f t="shared" si="2"/>
        <v>1338</v>
      </c>
      <c r="I49" s="68">
        <v>6.5</v>
      </c>
      <c r="K49" s="172"/>
    </row>
    <row r="50" spans="1:11" ht="12.75">
      <c r="A50" s="22" t="s">
        <v>55</v>
      </c>
      <c r="B50" s="24">
        <v>70942897</v>
      </c>
      <c r="C50" s="61">
        <v>3111</v>
      </c>
      <c r="D50" s="39">
        <v>1424</v>
      </c>
      <c r="E50" s="39">
        <v>0</v>
      </c>
      <c r="F50" s="39">
        <v>533</v>
      </c>
      <c r="G50" s="39">
        <v>13</v>
      </c>
      <c r="H50" s="173">
        <f t="shared" si="2"/>
        <v>1970</v>
      </c>
      <c r="I50" s="68">
        <v>9.8</v>
      </c>
      <c r="K50" s="172"/>
    </row>
    <row r="51" spans="1:11" ht="12.75">
      <c r="A51" s="22" t="s">
        <v>56</v>
      </c>
      <c r="B51" s="24">
        <v>63834359</v>
      </c>
      <c r="C51" s="61">
        <v>3111</v>
      </c>
      <c r="D51" s="39">
        <v>1961</v>
      </c>
      <c r="E51" s="39">
        <v>10</v>
      </c>
      <c r="F51" s="39">
        <v>737</v>
      </c>
      <c r="G51" s="39">
        <v>19</v>
      </c>
      <c r="H51" s="173">
        <f t="shared" si="2"/>
        <v>2727</v>
      </c>
      <c r="I51" s="68">
        <v>12.8</v>
      </c>
      <c r="K51" s="172"/>
    </row>
    <row r="52" spans="1:11" ht="12.75">
      <c r="A52" s="22" t="s">
        <v>57</v>
      </c>
      <c r="B52" s="24">
        <v>70920681</v>
      </c>
      <c r="C52" s="61">
        <v>3111</v>
      </c>
      <c r="D52" s="39">
        <v>1809</v>
      </c>
      <c r="E52" s="39">
        <v>0</v>
      </c>
      <c r="F52" s="39">
        <v>676</v>
      </c>
      <c r="G52" s="39">
        <v>19</v>
      </c>
      <c r="H52" s="173">
        <f t="shared" si="2"/>
        <v>2504</v>
      </c>
      <c r="I52" s="68">
        <v>11.6</v>
      </c>
      <c r="K52" s="172"/>
    </row>
    <row r="53" spans="1:11" ht="12.75">
      <c r="A53" s="22" t="s">
        <v>58</v>
      </c>
      <c r="B53" s="24">
        <v>70920753</v>
      </c>
      <c r="C53" s="61">
        <v>3111</v>
      </c>
      <c r="D53" s="39">
        <v>1912</v>
      </c>
      <c r="E53" s="39">
        <v>0</v>
      </c>
      <c r="F53" s="39">
        <v>715</v>
      </c>
      <c r="G53" s="39">
        <v>21</v>
      </c>
      <c r="H53" s="173">
        <f t="shared" si="2"/>
        <v>2648</v>
      </c>
      <c r="I53" s="68">
        <v>12.3</v>
      </c>
      <c r="K53" s="172"/>
    </row>
    <row r="54" spans="1:11" ht="12.75">
      <c r="A54" s="22" t="s">
        <v>59</v>
      </c>
      <c r="B54" s="24">
        <v>70920605</v>
      </c>
      <c r="C54" s="61">
        <v>3111</v>
      </c>
      <c r="D54" s="39">
        <v>1623</v>
      </c>
      <c r="E54" s="39">
        <v>0</v>
      </c>
      <c r="F54" s="39">
        <v>607</v>
      </c>
      <c r="G54" s="39">
        <v>17</v>
      </c>
      <c r="H54" s="173">
        <f t="shared" si="2"/>
        <v>2247</v>
      </c>
      <c r="I54" s="68">
        <v>10.5</v>
      </c>
      <c r="K54" s="172"/>
    </row>
    <row r="55" spans="1:11" ht="12.75">
      <c r="A55" s="22" t="s">
        <v>60</v>
      </c>
      <c r="B55" s="24">
        <v>70885401</v>
      </c>
      <c r="C55" s="61">
        <v>3111</v>
      </c>
      <c r="D55" s="39">
        <v>1611</v>
      </c>
      <c r="E55" s="39">
        <v>0</v>
      </c>
      <c r="F55" s="39">
        <v>603</v>
      </c>
      <c r="G55" s="39">
        <v>17</v>
      </c>
      <c r="H55" s="173">
        <f t="shared" si="2"/>
        <v>2231</v>
      </c>
      <c r="I55" s="68">
        <v>10.5</v>
      </c>
      <c r="K55" s="172"/>
    </row>
    <row r="56" spans="1:11" ht="12.75">
      <c r="A56" s="22" t="s">
        <v>61</v>
      </c>
      <c r="B56" s="24">
        <v>70921539</v>
      </c>
      <c r="C56" s="61">
        <v>3111</v>
      </c>
      <c r="D56" s="39">
        <v>1873</v>
      </c>
      <c r="E56" s="39">
        <v>0</v>
      </c>
      <c r="F56" s="39">
        <v>701</v>
      </c>
      <c r="G56" s="39">
        <v>18</v>
      </c>
      <c r="H56" s="173">
        <f t="shared" si="2"/>
        <v>2592</v>
      </c>
      <c r="I56" s="68">
        <v>12.6</v>
      </c>
      <c r="K56" s="172"/>
    </row>
    <row r="57" spans="1:11" ht="12.75">
      <c r="A57" s="22" t="s">
        <v>62</v>
      </c>
      <c r="B57" s="24">
        <v>70886466</v>
      </c>
      <c r="C57" s="61">
        <v>3111</v>
      </c>
      <c r="D57" s="39">
        <v>2938</v>
      </c>
      <c r="E57" s="39">
        <v>0</v>
      </c>
      <c r="F57" s="39">
        <v>1099</v>
      </c>
      <c r="G57" s="39">
        <v>31</v>
      </c>
      <c r="H57" s="173">
        <f t="shared" si="2"/>
        <v>4068</v>
      </c>
      <c r="I57" s="68">
        <v>19.7</v>
      </c>
      <c r="K57" s="172"/>
    </row>
    <row r="58" spans="1:11" ht="12.75">
      <c r="A58" s="22" t="s">
        <v>63</v>
      </c>
      <c r="B58" s="24">
        <v>70886423</v>
      </c>
      <c r="C58" s="61">
        <v>3111</v>
      </c>
      <c r="D58" s="39">
        <v>1538</v>
      </c>
      <c r="E58" s="39">
        <v>0</v>
      </c>
      <c r="F58" s="39">
        <v>575</v>
      </c>
      <c r="G58" s="39">
        <v>17</v>
      </c>
      <c r="H58" s="173">
        <f t="shared" si="2"/>
        <v>2130</v>
      </c>
      <c r="I58" s="68">
        <v>10</v>
      </c>
      <c r="K58" s="172"/>
    </row>
    <row r="59" spans="1:11" ht="12.75">
      <c r="A59" s="22" t="s">
        <v>64</v>
      </c>
      <c r="B59" s="24">
        <v>70920494</v>
      </c>
      <c r="C59" s="61">
        <v>3111</v>
      </c>
      <c r="D59" s="39">
        <v>1589</v>
      </c>
      <c r="E59" s="39">
        <v>5</v>
      </c>
      <c r="F59" s="39">
        <v>596</v>
      </c>
      <c r="G59" s="39">
        <v>16</v>
      </c>
      <c r="H59" s="173">
        <f t="shared" si="2"/>
        <v>2206</v>
      </c>
      <c r="I59" s="68">
        <v>10.7</v>
      </c>
      <c r="K59" s="172"/>
    </row>
    <row r="60" spans="1:11" ht="12.75">
      <c r="A60" s="22" t="s">
        <v>65</v>
      </c>
      <c r="B60" s="24">
        <v>70920761</v>
      </c>
      <c r="C60" s="61">
        <v>3111</v>
      </c>
      <c r="D60" s="39">
        <v>1854</v>
      </c>
      <c r="E60" s="39">
        <v>0</v>
      </c>
      <c r="F60" s="39">
        <v>693</v>
      </c>
      <c r="G60" s="39">
        <v>21</v>
      </c>
      <c r="H60" s="173">
        <f t="shared" si="2"/>
        <v>2568</v>
      </c>
      <c r="I60" s="68">
        <v>12.4</v>
      </c>
      <c r="K60" s="172"/>
    </row>
    <row r="61" spans="1:11" ht="12.75">
      <c r="A61" s="22" t="s">
        <v>66</v>
      </c>
      <c r="B61" s="24">
        <v>70886369</v>
      </c>
      <c r="C61" s="61">
        <v>3111</v>
      </c>
      <c r="D61" s="42">
        <v>1309</v>
      </c>
      <c r="E61" s="42">
        <v>3</v>
      </c>
      <c r="F61" s="42">
        <v>491</v>
      </c>
      <c r="G61" s="42">
        <v>12</v>
      </c>
      <c r="H61" s="174">
        <f t="shared" si="2"/>
        <v>1815</v>
      </c>
      <c r="I61" s="68">
        <v>8.5</v>
      </c>
      <c r="K61" s="172"/>
    </row>
    <row r="62" spans="1:11" ht="12.75">
      <c r="A62" s="74" t="s">
        <v>67</v>
      </c>
      <c r="B62" s="40"/>
      <c r="C62" s="48"/>
      <c r="D62" s="75"/>
      <c r="E62" s="75"/>
      <c r="F62" s="75"/>
      <c r="G62" s="75"/>
      <c r="H62" s="75"/>
      <c r="I62" s="68"/>
      <c r="K62" s="172"/>
    </row>
    <row r="63" spans="1:11" ht="12.75">
      <c r="A63" s="22" t="s">
        <v>68</v>
      </c>
      <c r="B63" s="24">
        <v>70886253</v>
      </c>
      <c r="C63" s="61">
        <v>3111</v>
      </c>
      <c r="D63" s="52">
        <v>2643</v>
      </c>
      <c r="E63" s="52">
        <v>7</v>
      </c>
      <c r="F63" s="52">
        <v>980</v>
      </c>
      <c r="G63" s="52">
        <v>30</v>
      </c>
      <c r="H63" s="38">
        <f aca="true" t="shared" si="3" ref="H63:H68">SUM(D63:G63)</f>
        <v>3660</v>
      </c>
      <c r="I63" s="68">
        <v>18.5</v>
      </c>
      <c r="K63" s="172"/>
    </row>
    <row r="64" spans="1:11" ht="12.75">
      <c r="A64" s="22" t="s">
        <v>69</v>
      </c>
      <c r="B64" s="24">
        <v>70886733</v>
      </c>
      <c r="C64" s="61">
        <v>3111</v>
      </c>
      <c r="D64" s="39">
        <v>2735</v>
      </c>
      <c r="E64" s="39">
        <v>10</v>
      </c>
      <c r="F64" s="39">
        <v>1027</v>
      </c>
      <c r="G64" s="39">
        <v>27</v>
      </c>
      <c r="H64" s="173">
        <f t="shared" si="3"/>
        <v>3799</v>
      </c>
      <c r="I64" s="68">
        <v>17.3</v>
      </c>
      <c r="K64" s="172"/>
    </row>
    <row r="65" spans="1:11" ht="12.75">
      <c r="A65" s="22" t="s">
        <v>70</v>
      </c>
      <c r="B65" s="24">
        <v>49624415</v>
      </c>
      <c r="C65" s="61">
        <v>3111</v>
      </c>
      <c r="D65" s="39">
        <v>3272</v>
      </c>
      <c r="E65" s="39">
        <v>33</v>
      </c>
      <c r="F65" s="39">
        <v>1236</v>
      </c>
      <c r="G65" s="39">
        <v>56</v>
      </c>
      <c r="H65" s="173">
        <f t="shared" si="3"/>
        <v>4597</v>
      </c>
      <c r="I65" s="68">
        <v>22.3</v>
      </c>
      <c r="K65" s="172"/>
    </row>
    <row r="66" spans="1:11" ht="12.75">
      <c r="A66" s="22" t="s">
        <v>71</v>
      </c>
      <c r="B66" s="24">
        <v>70997373</v>
      </c>
      <c r="C66" s="61">
        <v>3111</v>
      </c>
      <c r="D66" s="39">
        <v>890</v>
      </c>
      <c r="E66" s="39">
        <v>0</v>
      </c>
      <c r="F66" s="39">
        <v>333</v>
      </c>
      <c r="G66" s="39">
        <v>9</v>
      </c>
      <c r="H66" s="173">
        <f t="shared" si="3"/>
        <v>1232</v>
      </c>
      <c r="I66" s="68">
        <v>5.4</v>
      </c>
      <c r="K66" s="172"/>
    </row>
    <row r="67" spans="1:11" ht="12.75">
      <c r="A67" s="22" t="s">
        <v>72</v>
      </c>
      <c r="B67" s="24">
        <v>70886261</v>
      </c>
      <c r="C67" s="61">
        <v>3111</v>
      </c>
      <c r="D67" s="39">
        <v>2797</v>
      </c>
      <c r="E67" s="39">
        <v>7</v>
      </c>
      <c r="F67" s="39">
        <v>1048</v>
      </c>
      <c r="G67" s="39">
        <v>30</v>
      </c>
      <c r="H67" s="173">
        <f t="shared" si="3"/>
        <v>3882</v>
      </c>
      <c r="I67" s="68">
        <v>18.7</v>
      </c>
      <c r="K67" s="172"/>
    </row>
    <row r="68" spans="1:11" ht="12.75">
      <c r="A68" s="22" t="s">
        <v>73</v>
      </c>
      <c r="B68" s="24">
        <v>65993896</v>
      </c>
      <c r="C68" s="61">
        <v>3111</v>
      </c>
      <c r="D68" s="42">
        <v>1888</v>
      </c>
      <c r="E68" s="42">
        <v>33</v>
      </c>
      <c r="F68" s="42">
        <v>718</v>
      </c>
      <c r="G68" s="42">
        <v>20</v>
      </c>
      <c r="H68" s="174">
        <f t="shared" si="3"/>
        <v>2659</v>
      </c>
      <c r="I68" s="68">
        <v>11.6</v>
      </c>
      <c r="K68" s="172"/>
    </row>
    <row r="69" spans="1:11" ht="12.75">
      <c r="A69" s="74" t="s">
        <v>74</v>
      </c>
      <c r="B69" s="40"/>
      <c r="C69" s="48"/>
      <c r="D69" s="75"/>
      <c r="E69" s="75"/>
      <c r="F69" s="75"/>
      <c r="G69" s="75"/>
      <c r="H69" s="75"/>
      <c r="I69" s="68"/>
      <c r="K69" s="172"/>
    </row>
    <row r="70" spans="1:11" ht="12.75">
      <c r="A70" s="22" t="s">
        <v>75</v>
      </c>
      <c r="B70" s="24">
        <v>70986819</v>
      </c>
      <c r="C70" s="6">
        <v>3111</v>
      </c>
      <c r="D70" s="52">
        <v>750</v>
      </c>
      <c r="E70" s="52">
        <v>0</v>
      </c>
      <c r="F70" s="52">
        <v>281</v>
      </c>
      <c r="G70" s="52">
        <v>6</v>
      </c>
      <c r="H70" s="38">
        <f aca="true" t="shared" si="4" ref="H70:H78">SUM(D70:G70)</f>
        <v>1037</v>
      </c>
      <c r="I70" s="68">
        <v>5</v>
      </c>
      <c r="K70" s="172"/>
    </row>
    <row r="71" spans="1:11" ht="12.75">
      <c r="A71" s="22" t="s">
        <v>76</v>
      </c>
      <c r="B71" s="24">
        <v>68402112</v>
      </c>
      <c r="C71" s="61">
        <v>3111</v>
      </c>
      <c r="D71" s="39">
        <v>2161</v>
      </c>
      <c r="E71" s="39">
        <v>6</v>
      </c>
      <c r="F71" s="39">
        <v>810</v>
      </c>
      <c r="G71" s="39">
        <v>21</v>
      </c>
      <c r="H71" s="173">
        <f t="shared" si="4"/>
        <v>2998</v>
      </c>
      <c r="I71" s="68">
        <v>12.9</v>
      </c>
      <c r="K71" s="172"/>
    </row>
    <row r="72" spans="1:11" ht="12.75">
      <c r="A72" s="22" t="s">
        <v>77</v>
      </c>
      <c r="B72" s="24">
        <v>70919585</v>
      </c>
      <c r="C72" s="61">
        <v>3111</v>
      </c>
      <c r="D72" s="39">
        <v>2495</v>
      </c>
      <c r="E72" s="39">
        <v>6</v>
      </c>
      <c r="F72" s="39">
        <v>935</v>
      </c>
      <c r="G72" s="39">
        <v>28</v>
      </c>
      <c r="H72" s="173">
        <f t="shared" si="4"/>
        <v>3464</v>
      </c>
      <c r="I72" s="68">
        <v>16.8</v>
      </c>
      <c r="K72" s="172"/>
    </row>
    <row r="73" spans="1:11" ht="12.75">
      <c r="A73" s="22" t="s">
        <v>78</v>
      </c>
      <c r="B73" s="24">
        <v>70919674</v>
      </c>
      <c r="C73" s="61">
        <v>3111</v>
      </c>
      <c r="D73" s="39">
        <v>2061</v>
      </c>
      <c r="E73" s="39">
        <v>0</v>
      </c>
      <c r="F73" s="39">
        <v>771</v>
      </c>
      <c r="G73" s="39">
        <v>25</v>
      </c>
      <c r="H73" s="173">
        <f t="shared" si="4"/>
        <v>2857</v>
      </c>
      <c r="I73" s="68">
        <v>13.8</v>
      </c>
      <c r="K73" s="172"/>
    </row>
    <row r="74" spans="1:11" ht="12.75">
      <c r="A74" s="22" t="s">
        <v>79</v>
      </c>
      <c r="B74" s="24">
        <v>60433361</v>
      </c>
      <c r="C74" s="61">
        <v>3111</v>
      </c>
      <c r="D74" s="39">
        <v>3531</v>
      </c>
      <c r="E74" s="39">
        <v>12</v>
      </c>
      <c r="F74" s="39">
        <v>1325</v>
      </c>
      <c r="G74" s="39">
        <v>35</v>
      </c>
      <c r="H74" s="173">
        <f t="shared" si="4"/>
        <v>4903</v>
      </c>
      <c r="I74" s="68">
        <v>22.7</v>
      </c>
      <c r="K74" s="172"/>
    </row>
    <row r="75" spans="1:11" ht="12.75">
      <c r="A75" s="22" t="s">
        <v>80</v>
      </c>
      <c r="B75" s="24">
        <v>70919623</v>
      </c>
      <c r="C75" s="61">
        <v>3111</v>
      </c>
      <c r="D75" s="39">
        <v>2074</v>
      </c>
      <c r="E75" s="39">
        <v>0</v>
      </c>
      <c r="F75" s="39">
        <v>776</v>
      </c>
      <c r="G75" s="39">
        <v>22</v>
      </c>
      <c r="H75" s="173">
        <f t="shared" si="4"/>
        <v>2872</v>
      </c>
      <c r="I75" s="68">
        <v>14.6</v>
      </c>
      <c r="K75" s="172"/>
    </row>
    <row r="76" spans="1:11" ht="12.75">
      <c r="A76" s="22" t="s">
        <v>81</v>
      </c>
      <c r="B76" s="24">
        <v>70919704</v>
      </c>
      <c r="C76" s="61">
        <v>3111</v>
      </c>
      <c r="D76" s="39">
        <v>2309</v>
      </c>
      <c r="E76" s="39">
        <v>0</v>
      </c>
      <c r="F76" s="39">
        <v>864</v>
      </c>
      <c r="G76" s="39">
        <v>23</v>
      </c>
      <c r="H76" s="173">
        <f t="shared" si="4"/>
        <v>3196</v>
      </c>
      <c r="I76" s="68">
        <v>15.7</v>
      </c>
      <c r="K76" s="172"/>
    </row>
    <row r="77" spans="1:11" ht="12.75">
      <c r="A77" s="22" t="s">
        <v>82</v>
      </c>
      <c r="B77" s="24">
        <v>70919721</v>
      </c>
      <c r="C77" s="61">
        <v>3111</v>
      </c>
      <c r="D77" s="39">
        <v>1658</v>
      </c>
      <c r="E77" s="39">
        <v>6</v>
      </c>
      <c r="F77" s="39">
        <v>622</v>
      </c>
      <c r="G77" s="39">
        <v>17</v>
      </c>
      <c r="H77" s="173">
        <f t="shared" si="4"/>
        <v>2303</v>
      </c>
      <c r="I77" s="68">
        <v>10.5</v>
      </c>
      <c r="K77" s="172"/>
    </row>
    <row r="78" spans="1:11" ht="13.5" thickBot="1">
      <c r="A78" s="25" t="s">
        <v>83</v>
      </c>
      <c r="B78" s="26">
        <v>70919747</v>
      </c>
      <c r="C78" s="28">
        <v>3111</v>
      </c>
      <c r="D78" s="69">
        <v>2540</v>
      </c>
      <c r="E78" s="69">
        <v>6</v>
      </c>
      <c r="F78" s="69">
        <v>957</v>
      </c>
      <c r="G78" s="69">
        <v>26</v>
      </c>
      <c r="H78" s="175">
        <f t="shared" si="4"/>
        <v>3529</v>
      </c>
      <c r="I78" s="70">
        <v>17</v>
      </c>
      <c r="K78" s="172"/>
    </row>
    <row r="79" spans="1:11" ht="13.5" thickBot="1">
      <c r="A79" s="19"/>
      <c r="B79" s="19"/>
      <c r="C79" s="19"/>
      <c r="D79" s="37"/>
      <c r="E79" s="37"/>
      <c r="F79" s="37"/>
      <c r="G79" s="37"/>
      <c r="H79" s="32"/>
      <c r="I79" s="71"/>
      <c r="K79" s="172"/>
    </row>
    <row r="80" spans="1:11" ht="12.75" customHeight="1">
      <c r="A80" s="185" t="s">
        <v>297</v>
      </c>
      <c r="B80" s="187" t="s">
        <v>0</v>
      </c>
      <c r="C80" s="190" t="s">
        <v>17</v>
      </c>
      <c r="D80" s="187" t="s">
        <v>18</v>
      </c>
      <c r="E80" s="187"/>
      <c r="F80" s="187"/>
      <c r="G80" s="187"/>
      <c r="H80" s="187"/>
      <c r="I80" s="189"/>
      <c r="K80" s="172"/>
    </row>
    <row r="81" spans="1:11" ht="26.25" thickBot="1">
      <c r="A81" s="186"/>
      <c r="B81" s="188"/>
      <c r="C81" s="191"/>
      <c r="D81" s="1" t="s">
        <v>2</v>
      </c>
      <c r="E81" s="1" t="s">
        <v>3</v>
      </c>
      <c r="F81" s="1" t="s">
        <v>4</v>
      </c>
      <c r="G81" s="1" t="s">
        <v>5</v>
      </c>
      <c r="H81" s="1" t="s">
        <v>6</v>
      </c>
      <c r="I81" s="2" t="s">
        <v>9</v>
      </c>
      <c r="K81" s="172"/>
    </row>
    <row r="82" spans="1:11" ht="12.75">
      <c r="A82" s="76" t="s">
        <v>84</v>
      </c>
      <c r="B82" s="77">
        <v>70919631</v>
      </c>
      <c r="C82" s="61">
        <v>3111</v>
      </c>
      <c r="D82" s="78">
        <v>2069</v>
      </c>
      <c r="E82" s="78">
        <v>6</v>
      </c>
      <c r="F82" s="78">
        <v>776</v>
      </c>
      <c r="G82" s="78">
        <v>21</v>
      </c>
      <c r="H82" s="79">
        <f aca="true" t="shared" si="5" ref="H82:H92">SUM(D82:G82)</f>
        <v>2872</v>
      </c>
      <c r="I82" s="80">
        <v>13.8</v>
      </c>
      <c r="K82" s="172"/>
    </row>
    <row r="83" spans="1:11" ht="12.75">
      <c r="A83" s="3" t="s">
        <v>85</v>
      </c>
      <c r="B83" s="23">
        <v>70919666</v>
      </c>
      <c r="C83" s="61">
        <v>3111</v>
      </c>
      <c r="D83" s="52">
        <v>2095</v>
      </c>
      <c r="E83" s="52">
        <v>6</v>
      </c>
      <c r="F83" s="52">
        <v>786</v>
      </c>
      <c r="G83" s="52">
        <v>23</v>
      </c>
      <c r="H83" s="16">
        <f t="shared" si="5"/>
        <v>2910</v>
      </c>
      <c r="I83" s="68">
        <v>14.2</v>
      </c>
      <c r="K83" s="172"/>
    </row>
    <row r="84" spans="1:11" ht="12.75">
      <c r="A84" s="22" t="s">
        <v>86</v>
      </c>
      <c r="B84" s="24">
        <v>63113970</v>
      </c>
      <c r="C84" s="61">
        <v>3111</v>
      </c>
      <c r="D84" s="39">
        <v>1537</v>
      </c>
      <c r="E84" s="39">
        <v>129</v>
      </c>
      <c r="F84" s="39">
        <v>621</v>
      </c>
      <c r="G84" s="39">
        <v>21</v>
      </c>
      <c r="H84" s="7">
        <f t="shared" si="5"/>
        <v>2308</v>
      </c>
      <c r="I84" s="68">
        <v>9.6</v>
      </c>
      <c r="K84" s="172"/>
    </row>
    <row r="85" spans="1:11" ht="12.75">
      <c r="A85" s="22" t="s">
        <v>87</v>
      </c>
      <c r="B85" s="24">
        <v>70919691</v>
      </c>
      <c r="C85" s="61">
        <v>3111</v>
      </c>
      <c r="D85" s="39">
        <v>2240</v>
      </c>
      <c r="E85" s="39">
        <v>6</v>
      </c>
      <c r="F85" s="39">
        <v>840</v>
      </c>
      <c r="G85" s="39">
        <v>26</v>
      </c>
      <c r="H85" s="7">
        <f t="shared" si="5"/>
        <v>3112</v>
      </c>
      <c r="I85" s="68">
        <v>15.5</v>
      </c>
      <c r="K85" s="172"/>
    </row>
    <row r="86" spans="1:11" ht="12.75">
      <c r="A86" s="5" t="s">
        <v>88</v>
      </c>
      <c r="B86" s="24">
        <v>70986801</v>
      </c>
      <c r="C86" s="61">
        <v>3111</v>
      </c>
      <c r="D86" s="39">
        <v>1237</v>
      </c>
      <c r="E86" s="39">
        <v>0</v>
      </c>
      <c r="F86" s="39">
        <v>463</v>
      </c>
      <c r="G86" s="39">
        <v>36</v>
      </c>
      <c r="H86" s="7">
        <f t="shared" si="5"/>
        <v>1736</v>
      </c>
      <c r="I86" s="68">
        <v>8.3</v>
      </c>
      <c r="K86" s="172"/>
    </row>
    <row r="87" spans="1:11" ht="12.75">
      <c r="A87" s="22" t="s">
        <v>89</v>
      </c>
      <c r="B87" s="24">
        <v>70919739</v>
      </c>
      <c r="C87" s="61">
        <v>3111</v>
      </c>
      <c r="D87" s="39">
        <v>2018</v>
      </c>
      <c r="E87" s="39">
        <v>6</v>
      </c>
      <c r="F87" s="39">
        <v>757</v>
      </c>
      <c r="G87" s="39">
        <v>19</v>
      </c>
      <c r="H87" s="7">
        <f t="shared" si="5"/>
        <v>2800</v>
      </c>
      <c r="I87" s="68">
        <v>13.8</v>
      </c>
      <c r="K87" s="172"/>
    </row>
    <row r="88" spans="1:11" ht="12.75">
      <c r="A88" s="22" t="s">
        <v>90</v>
      </c>
      <c r="B88" s="24">
        <v>60433370</v>
      </c>
      <c r="C88" s="61">
        <v>3111</v>
      </c>
      <c r="D88" s="39">
        <v>2463</v>
      </c>
      <c r="E88" s="39">
        <v>10</v>
      </c>
      <c r="F88" s="39">
        <v>925</v>
      </c>
      <c r="G88" s="39">
        <v>35</v>
      </c>
      <c r="H88" s="7">
        <f t="shared" si="5"/>
        <v>3433</v>
      </c>
      <c r="I88" s="68">
        <v>17</v>
      </c>
      <c r="K88" s="172"/>
    </row>
    <row r="89" spans="1:11" ht="12.75">
      <c r="A89" s="22" t="s">
        <v>91</v>
      </c>
      <c r="B89" s="24">
        <v>70919658</v>
      </c>
      <c r="C89" s="61">
        <v>3111</v>
      </c>
      <c r="D89" s="39">
        <v>1922</v>
      </c>
      <c r="E89" s="39">
        <v>6</v>
      </c>
      <c r="F89" s="39">
        <v>719</v>
      </c>
      <c r="G89" s="39">
        <v>18</v>
      </c>
      <c r="H89" s="7">
        <f t="shared" si="5"/>
        <v>2665</v>
      </c>
      <c r="I89" s="68">
        <v>12</v>
      </c>
      <c r="K89" s="172"/>
    </row>
    <row r="90" spans="1:11" ht="12.75">
      <c r="A90" s="22" t="s">
        <v>92</v>
      </c>
      <c r="B90" s="24">
        <v>70919640</v>
      </c>
      <c r="C90" s="61">
        <v>3111</v>
      </c>
      <c r="D90" s="39">
        <v>2052</v>
      </c>
      <c r="E90" s="39">
        <v>6</v>
      </c>
      <c r="F90" s="39">
        <v>769</v>
      </c>
      <c r="G90" s="39">
        <v>23</v>
      </c>
      <c r="H90" s="7">
        <f t="shared" si="5"/>
        <v>2850</v>
      </c>
      <c r="I90" s="68">
        <v>14.5</v>
      </c>
      <c r="K90" s="172"/>
    </row>
    <row r="91" spans="1:11" ht="12.75">
      <c r="A91" s="22" t="s">
        <v>93</v>
      </c>
      <c r="B91" s="24">
        <v>70919615</v>
      </c>
      <c r="C91" s="61">
        <v>3111</v>
      </c>
      <c r="D91" s="39">
        <v>1556</v>
      </c>
      <c r="E91" s="39">
        <v>0</v>
      </c>
      <c r="F91" s="39">
        <v>582</v>
      </c>
      <c r="G91" s="39">
        <v>17</v>
      </c>
      <c r="H91" s="7">
        <f t="shared" si="5"/>
        <v>2155</v>
      </c>
      <c r="I91" s="68">
        <v>10.3</v>
      </c>
      <c r="K91" s="172"/>
    </row>
    <row r="92" spans="1:11" ht="12.75">
      <c r="A92" s="22" t="s">
        <v>94</v>
      </c>
      <c r="B92" s="24">
        <v>68402104</v>
      </c>
      <c r="C92" s="61">
        <v>3111</v>
      </c>
      <c r="D92" s="42">
        <v>1487</v>
      </c>
      <c r="E92" s="42">
        <v>6</v>
      </c>
      <c r="F92" s="42">
        <v>558</v>
      </c>
      <c r="G92" s="42">
        <v>17</v>
      </c>
      <c r="H92" s="35">
        <f t="shared" si="5"/>
        <v>2068</v>
      </c>
      <c r="I92" s="68">
        <v>10.1</v>
      </c>
      <c r="K92" s="172"/>
    </row>
    <row r="93" spans="1:11" ht="12.75">
      <c r="A93" s="63" t="s">
        <v>95</v>
      </c>
      <c r="B93" s="40"/>
      <c r="C93" s="48"/>
      <c r="D93" s="75"/>
      <c r="E93" s="75"/>
      <c r="F93" s="75"/>
      <c r="G93" s="75"/>
      <c r="H93" s="75"/>
      <c r="I93" s="82"/>
      <c r="K93" s="172"/>
    </row>
    <row r="94" spans="1:11" ht="12.75">
      <c r="A94" s="22" t="s">
        <v>96</v>
      </c>
      <c r="B94" s="24">
        <v>70920389</v>
      </c>
      <c r="C94" s="61">
        <v>3111</v>
      </c>
      <c r="D94" s="52">
        <v>1764</v>
      </c>
      <c r="E94" s="52">
        <v>10</v>
      </c>
      <c r="F94" s="52">
        <v>664</v>
      </c>
      <c r="G94" s="52">
        <v>18</v>
      </c>
      <c r="H94" s="16">
        <f aca="true" t="shared" si="6" ref="H94:H101">SUM(D94:G94)</f>
        <v>2456</v>
      </c>
      <c r="I94" s="68">
        <v>11.7</v>
      </c>
      <c r="K94" s="172"/>
    </row>
    <row r="95" spans="1:11" ht="12.75">
      <c r="A95" s="22" t="s">
        <v>97</v>
      </c>
      <c r="B95" s="24">
        <v>70920362</v>
      </c>
      <c r="C95" s="61">
        <v>3111</v>
      </c>
      <c r="D95" s="39">
        <v>2458</v>
      </c>
      <c r="E95" s="39">
        <v>0</v>
      </c>
      <c r="F95" s="39">
        <v>919</v>
      </c>
      <c r="G95" s="39">
        <v>27</v>
      </c>
      <c r="H95" s="7">
        <f t="shared" si="6"/>
        <v>3404</v>
      </c>
      <c r="I95" s="68">
        <v>16.4</v>
      </c>
      <c r="K95" s="172"/>
    </row>
    <row r="96" spans="1:11" ht="12.75">
      <c r="A96" s="22" t="s">
        <v>98</v>
      </c>
      <c r="B96" s="24">
        <v>70920168</v>
      </c>
      <c r="C96" s="61">
        <v>3111</v>
      </c>
      <c r="D96" s="39">
        <v>2147</v>
      </c>
      <c r="E96" s="39">
        <v>0</v>
      </c>
      <c r="F96" s="39">
        <v>803</v>
      </c>
      <c r="G96" s="39">
        <v>22</v>
      </c>
      <c r="H96" s="7">
        <f t="shared" si="6"/>
        <v>2972</v>
      </c>
      <c r="I96" s="68">
        <v>14</v>
      </c>
      <c r="K96" s="172"/>
    </row>
    <row r="97" spans="1:11" ht="12.75">
      <c r="A97" s="22" t="s">
        <v>565</v>
      </c>
      <c r="B97" s="24">
        <v>70920371</v>
      </c>
      <c r="C97" s="61">
        <v>3111</v>
      </c>
      <c r="D97" s="39">
        <v>1500</v>
      </c>
      <c r="E97" s="39">
        <v>0</v>
      </c>
      <c r="F97" s="39">
        <v>561</v>
      </c>
      <c r="G97" s="39">
        <v>14</v>
      </c>
      <c r="H97" s="7">
        <f t="shared" si="6"/>
        <v>2075</v>
      </c>
      <c r="I97" s="68">
        <v>10.4</v>
      </c>
      <c r="K97" s="172"/>
    </row>
    <row r="98" spans="1:11" ht="12.75">
      <c r="A98" s="22" t="s">
        <v>99</v>
      </c>
      <c r="B98" s="24">
        <v>70920397</v>
      </c>
      <c r="C98" s="61">
        <v>3111</v>
      </c>
      <c r="D98" s="39">
        <v>2078</v>
      </c>
      <c r="E98" s="39">
        <v>0</v>
      </c>
      <c r="F98" s="39">
        <v>777</v>
      </c>
      <c r="G98" s="39">
        <v>23</v>
      </c>
      <c r="H98" s="7">
        <f t="shared" si="6"/>
        <v>2878</v>
      </c>
      <c r="I98" s="68">
        <v>13.7</v>
      </c>
      <c r="K98" s="172"/>
    </row>
    <row r="99" spans="1:11" ht="12.75">
      <c r="A99" s="22" t="s">
        <v>100</v>
      </c>
      <c r="B99" s="24">
        <v>70920401</v>
      </c>
      <c r="C99" s="61">
        <v>3111</v>
      </c>
      <c r="D99" s="39">
        <v>1104</v>
      </c>
      <c r="E99" s="39">
        <v>4</v>
      </c>
      <c r="F99" s="39">
        <v>414</v>
      </c>
      <c r="G99" s="39">
        <v>9</v>
      </c>
      <c r="H99" s="7">
        <f t="shared" si="6"/>
        <v>1531</v>
      </c>
      <c r="I99" s="68">
        <v>7</v>
      </c>
      <c r="K99" s="172"/>
    </row>
    <row r="100" spans="1:11" ht="12.75">
      <c r="A100" s="22" t="s">
        <v>101</v>
      </c>
      <c r="B100" s="24">
        <v>70919526</v>
      </c>
      <c r="C100" s="61">
        <v>3111</v>
      </c>
      <c r="D100" s="39">
        <v>3737</v>
      </c>
      <c r="E100" s="39">
        <v>6</v>
      </c>
      <c r="F100" s="39">
        <v>1400</v>
      </c>
      <c r="G100" s="39">
        <v>39</v>
      </c>
      <c r="H100" s="7">
        <f t="shared" si="6"/>
        <v>5182</v>
      </c>
      <c r="I100" s="68">
        <v>25.5</v>
      </c>
      <c r="K100" s="172"/>
    </row>
    <row r="101" spans="1:11" ht="12.75">
      <c r="A101" s="22" t="s">
        <v>102</v>
      </c>
      <c r="B101" s="24">
        <v>70920427</v>
      </c>
      <c r="C101" s="61">
        <v>3111</v>
      </c>
      <c r="D101" s="42">
        <v>2612</v>
      </c>
      <c r="E101" s="42">
        <v>0</v>
      </c>
      <c r="F101" s="42">
        <v>977</v>
      </c>
      <c r="G101" s="42">
        <v>27</v>
      </c>
      <c r="H101" s="35">
        <f t="shared" si="6"/>
        <v>3616</v>
      </c>
      <c r="I101" s="68">
        <v>16.8</v>
      </c>
      <c r="K101" s="172"/>
    </row>
    <row r="102" spans="1:11" ht="12.75">
      <c r="A102" s="74" t="s">
        <v>103</v>
      </c>
      <c r="B102" s="40"/>
      <c r="C102" s="48"/>
      <c r="D102" s="75"/>
      <c r="E102" s="75"/>
      <c r="F102" s="75"/>
      <c r="G102" s="75"/>
      <c r="H102" s="75"/>
      <c r="I102" s="82"/>
      <c r="K102" s="172"/>
    </row>
    <row r="103" spans="1:11" ht="12.75">
      <c r="A103" s="5" t="s">
        <v>104</v>
      </c>
      <c r="B103" s="6">
        <v>65991257</v>
      </c>
      <c r="C103" s="6">
        <v>3111</v>
      </c>
      <c r="D103" s="16">
        <v>1705</v>
      </c>
      <c r="E103" s="16">
        <v>0</v>
      </c>
      <c r="F103" s="16">
        <v>638</v>
      </c>
      <c r="G103" s="16">
        <v>14</v>
      </c>
      <c r="H103" s="16">
        <f aca="true" t="shared" si="7" ref="H103:H116">SUM(D103:G103)</f>
        <v>2357</v>
      </c>
      <c r="I103" s="68">
        <v>11.4</v>
      </c>
      <c r="K103" s="172"/>
    </row>
    <row r="104" spans="1:11" ht="12.75">
      <c r="A104" s="5" t="s">
        <v>105</v>
      </c>
      <c r="B104" s="6">
        <v>61386171</v>
      </c>
      <c r="C104" s="61">
        <v>3111</v>
      </c>
      <c r="D104" s="7">
        <v>2535</v>
      </c>
      <c r="E104" s="7">
        <v>8</v>
      </c>
      <c r="F104" s="7">
        <v>951</v>
      </c>
      <c r="G104" s="7">
        <v>27</v>
      </c>
      <c r="H104" s="7">
        <f t="shared" si="7"/>
        <v>3521</v>
      </c>
      <c r="I104" s="68">
        <v>17.9</v>
      </c>
      <c r="K104" s="172"/>
    </row>
    <row r="105" spans="1:11" ht="12.75">
      <c r="A105" s="22" t="s">
        <v>106</v>
      </c>
      <c r="B105" s="24">
        <v>75030861</v>
      </c>
      <c r="C105" s="61">
        <v>3111</v>
      </c>
      <c r="D105" s="39">
        <v>2036</v>
      </c>
      <c r="E105" s="39">
        <v>0</v>
      </c>
      <c r="F105" s="39">
        <v>761</v>
      </c>
      <c r="G105" s="39">
        <v>21</v>
      </c>
      <c r="H105" s="7">
        <f t="shared" si="7"/>
        <v>2818</v>
      </c>
      <c r="I105" s="68">
        <v>14.1</v>
      </c>
      <c r="K105" s="172"/>
    </row>
    <row r="106" spans="1:11" ht="12.75">
      <c r="A106" s="5" t="s">
        <v>107</v>
      </c>
      <c r="B106" s="6">
        <v>61386162</v>
      </c>
      <c r="C106" s="61">
        <v>3111</v>
      </c>
      <c r="D106" s="7">
        <v>2438</v>
      </c>
      <c r="E106" s="7">
        <v>17</v>
      </c>
      <c r="F106" s="7">
        <v>918</v>
      </c>
      <c r="G106" s="7">
        <v>14</v>
      </c>
      <c r="H106" s="7">
        <f t="shared" si="7"/>
        <v>3387</v>
      </c>
      <c r="I106" s="68">
        <v>17.5</v>
      </c>
      <c r="K106" s="172"/>
    </row>
    <row r="107" spans="1:11" ht="12.75">
      <c r="A107" s="5" t="s">
        <v>108</v>
      </c>
      <c r="B107" s="6">
        <v>65991184</v>
      </c>
      <c r="C107" s="61">
        <v>3111</v>
      </c>
      <c r="D107" s="7">
        <v>1867</v>
      </c>
      <c r="E107" s="7">
        <v>10</v>
      </c>
      <c r="F107" s="7">
        <v>702</v>
      </c>
      <c r="G107" s="7">
        <v>20</v>
      </c>
      <c r="H107" s="7">
        <f t="shared" si="7"/>
        <v>2599</v>
      </c>
      <c r="I107" s="68">
        <v>12.2</v>
      </c>
      <c r="K107" s="172"/>
    </row>
    <row r="108" spans="1:11" ht="12.75">
      <c r="A108" s="5" t="s">
        <v>109</v>
      </c>
      <c r="B108" s="6">
        <v>65990994</v>
      </c>
      <c r="C108" s="61">
        <v>3111</v>
      </c>
      <c r="D108" s="7">
        <v>1631</v>
      </c>
      <c r="E108" s="7">
        <v>0</v>
      </c>
      <c r="F108" s="7">
        <v>610</v>
      </c>
      <c r="G108" s="7">
        <v>17</v>
      </c>
      <c r="H108" s="7">
        <f t="shared" si="7"/>
        <v>2258</v>
      </c>
      <c r="I108" s="68">
        <v>11</v>
      </c>
      <c r="K108" s="172"/>
    </row>
    <row r="109" spans="1:11" ht="12.75">
      <c r="A109" s="22" t="s">
        <v>110</v>
      </c>
      <c r="B109" s="24">
        <v>75030853</v>
      </c>
      <c r="C109" s="61">
        <v>3111</v>
      </c>
      <c r="D109" s="39">
        <v>1950</v>
      </c>
      <c r="E109" s="39">
        <v>0</v>
      </c>
      <c r="F109" s="39">
        <v>729</v>
      </c>
      <c r="G109" s="39">
        <v>20</v>
      </c>
      <c r="H109" s="7">
        <f t="shared" si="7"/>
        <v>2699</v>
      </c>
      <c r="I109" s="68">
        <v>13.2</v>
      </c>
      <c r="K109" s="172"/>
    </row>
    <row r="110" spans="1:11" ht="12.75">
      <c r="A110" s="22" t="s">
        <v>111</v>
      </c>
      <c r="B110" s="24">
        <v>75030845</v>
      </c>
      <c r="C110" s="61">
        <v>3111</v>
      </c>
      <c r="D110" s="39">
        <v>1641</v>
      </c>
      <c r="E110" s="39">
        <v>0</v>
      </c>
      <c r="F110" s="39">
        <v>614</v>
      </c>
      <c r="G110" s="39">
        <v>16</v>
      </c>
      <c r="H110" s="7">
        <f t="shared" si="7"/>
        <v>2271</v>
      </c>
      <c r="I110" s="68">
        <v>11.7</v>
      </c>
      <c r="K110" s="172"/>
    </row>
    <row r="111" spans="1:11" ht="12.75">
      <c r="A111" s="5" t="s">
        <v>112</v>
      </c>
      <c r="B111" s="6">
        <v>70872392</v>
      </c>
      <c r="C111" s="61">
        <v>3111</v>
      </c>
      <c r="D111" s="7">
        <v>1446</v>
      </c>
      <c r="E111" s="7">
        <v>20</v>
      </c>
      <c r="F111" s="7">
        <v>548</v>
      </c>
      <c r="G111" s="7">
        <v>83</v>
      </c>
      <c r="H111" s="7">
        <f t="shared" si="7"/>
        <v>2097</v>
      </c>
      <c r="I111" s="68">
        <v>9.9</v>
      </c>
      <c r="K111" s="172"/>
    </row>
    <row r="112" spans="1:11" ht="12.75">
      <c r="A112" s="22" t="s">
        <v>113</v>
      </c>
      <c r="B112" s="24">
        <v>75030870</v>
      </c>
      <c r="C112" s="61">
        <v>3111</v>
      </c>
      <c r="D112" s="39">
        <v>2052</v>
      </c>
      <c r="E112" s="39">
        <v>0</v>
      </c>
      <c r="F112" s="39">
        <v>767</v>
      </c>
      <c r="G112" s="39">
        <v>22</v>
      </c>
      <c r="H112" s="7">
        <f t="shared" si="7"/>
        <v>2841</v>
      </c>
      <c r="I112" s="68">
        <v>14.3</v>
      </c>
      <c r="K112" s="172"/>
    </row>
    <row r="113" spans="1:11" ht="12.75">
      <c r="A113" s="22" t="s">
        <v>114</v>
      </c>
      <c r="B113" s="24">
        <v>75030802</v>
      </c>
      <c r="C113" s="61">
        <v>3111</v>
      </c>
      <c r="D113" s="39">
        <v>2023</v>
      </c>
      <c r="E113" s="39">
        <v>0</v>
      </c>
      <c r="F113" s="39">
        <v>757</v>
      </c>
      <c r="G113" s="39">
        <v>23</v>
      </c>
      <c r="H113" s="7">
        <f t="shared" si="7"/>
        <v>2803</v>
      </c>
      <c r="I113" s="68">
        <v>14.2</v>
      </c>
      <c r="K113" s="172"/>
    </row>
    <row r="114" spans="1:11" ht="12.75">
      <c r="A114" s="5" t="s">
        <v>115</v>
      </c>
      <c r="B114" s="6">
        <v>61381551</v>
      </c>
      <c r="C114" s="61">
        <v>3111</v>
      </c>
      <c r="D114" s="7">
        <v>2116</v>
      </c>
      <c r="E114" s="7">
        <v>0</v>
      </c>
      <c r="F114" s="7">
        <v>791</v>
      </c>
      <c r="G114" s="7">
        <v>24</v>
      </c>
      <c r="H114" s="7">
        <f t="shared" si="7"/>
        <v>2931</v>
      </c>
      <c r="I114" s="68">
        <v>15.1</v>
      </c>
      <c r="K114" s="172"/>
    </row>
    <row r="115" spans="1:11" ht="12.75">
      <c r="A115" s="22" t="s">
        <v>116</v>
      </c>
      <c r="B115" s="24">
        <v>65991249</v>
      </c>
      <c r="C115" s="61">
        <v>3111</v>
      </c>
      <c r="D115" s="39">
        <v>2029</v>
      </c>
      <c r="E115" s="39">
        <v>12</v>
      </c>
      <c r="F115" s="39">
        <v>763</v>
      </c>
      <c r="G115" s="39">
        <v>20</v>
      </c>
      <c r="H115" s="7">
        <f t="shared" si="7"/>
        <v>2824</v>
      </c>
      <c r="I115" s="68">
        <v>13.9</v>
      </c>
      <c r="K115" s="172"/>
    </row>
    <row r="116" spans="1:11" ht="13.5" thickBot="1">
      <c r="A116" s="25" t="s">
        <v>117</v>
      </c>
      <c r="B116" s="26">
        <v>61386014</v>
      </c>
      <c r="C116" s="28">
        <v>3111</v>
      </c>
      <c r="D116" s="69">
        <v>1969</v>
      </c>
      <c r="E116" s="69">
        <v>26</v>
      </c>
      <c r="F116" s="69">
        <v>745</v>
      </c>
      <c r="G116" s="69">
        <v>20</v>
      </c>
      <c r="H116" s="11">
        <f t="shared" si="7"/>
        <v>2760</v>
      </c>
      <c r="I116" s="179">
        <v>13.5</v>
      </c>
      <c r="K116" s="172"/>
    </row>
    <row r="117" spans="1:11" ht="13.5" thickBot="1">
      <c r="A117" s="19"/>
      <c r="B117" s="19"/>
      <c r="C117" s="19"/>
      <c r="D117" s="37"/>
      <c r="E117" s="19"/>
      <c r="F117" s="19"/>
      <c r="G117" s="19"/>
      <c r="H117" s="37"/>
      <c r="I117" s="71"/>
      <c r="K117" s="172"/>
    </row>
    <row r="118" spans="1:11" ht="12.75" customHeight="1">
      <c r="A118" s="185" t="s">
        <v>297</v>
      </c>
      <c r="B118" s="187" t="s">
        <v>0</v>
      </c>
      <c r="C118" s="190" t="s">
        <v>17</v>
      </c>
      <c r="D118" s="187" t="s">
        <v>18</v>
      </c>
      <c r="E118" s="187"/>
      <c r="F118" s="187"/>
      <c r="G118" s="187"/>
      <c r="H118" s="187"/>
      <c r="I118" s="189"/>
      <c r="K118" s="172"/>
    </row>
    <row r="119" spans="1:11" ht="26.25" thickBot="1">
      <c r="A119" s="186"/>
      <c r="B119" s="188"/>
      <c r="C119" s="191"/>
      <c r="D119" s="1" t="s">
        <v>2</v>
      </c>
      <c r="E119" s="1" t="s">
        <v>3</v>
      </c>
      <c r="F119" s="1" t="s">
        <v>4</v>
      </c>
      <c r="G119" s="1" t="s">
        <v>5</v>
      </c>
      <c r="H119" s="1" t="s">
        <v>6</v>
      </c>
      <c r="I119" s="2" t="s">
        <v>9</v>
      </c>
      <c r="K119" s="172"/>
    </row>
    <row r="120" spans="1:11" ht="12.75">
      <c r="A120" s="3" t="s">
        <v>118</v>
      </c>
      <c r="B120" s="23">
        <v>65991001</v>
      </c>
      <c r="C120" s="61">
        <v>3111</v>
      </c>
      <c r="D120" s="52">
        <v>2098</v>
      </c>
      <c r="E120" s="52">
        <v>12</v>
      </c>
      <c r="F120" s="52">
        <v>789</v>
      </c>
      <c r="G120" s="52">
        <v>26</v>
      </c>
      <c r="H120" s="173">
        <f aca="true" t="shared" si="8" ref="H120:H126">SUM(D120:G120)</f>
        <v>2925</v>
      </c>
      <c r="I120" s="81">
        <v>14</v>
      </c>
      <c r="K120" s="172"/>
    </row>
    <row r="121" spans="1:11" ht="12.75">
      <c r="A121" s="22" t="s">
        <v>119</v>
      </c>
      <c r="B121" s="24">
        <v>61381560</v>
      </c>
      <c r="C121" s="61">
        <v>3111</v>
      </c>
      <c r="D121" s="39">
        <v>2142</v>
      </c>
      <c r="E121" s="39">
        <v>10</v>
      </c>
      <c r="F121" s="39">
        <v>805</v>
      </c>
      <c r="G121" s="39">
        <v>22</v>
      </c>
      <c r="H121" s="173">
        <f t="shared" si="8"/>
        <v>2979</v>
      </c>
      <c r="I121" s="68">
        <v>14.3</v>
      </c>
      <c r="K121" s="172"/>
    </row>
    <row r="122" spans="1:11" ht="12.75">
      <c r="A122" s="22" t="s">
        <v>120</v>
      </c>
      <c r="B122" s="24">
        <v>63829908</v>
      </c>
      <c r="C122" s="61">
        <v>3111</v>
      </c>
      <c r="D122" s="39">
        <v>2498</v>
      </c>
      <c r="E122" s="39">
        <v>0</v>
      </c>
      <c r="F122" s="39">
        <v>934</v>
      </c>
      <c r="G122" s="39">
        <v>28</v>
      </c>
      <c r="H122" s="173">
        <f t="shared" si="8"/>
        <v>3460</v>
      </c>
      <c r="I122" s="68">
        <v>17</v>
      </c>
      <c r="K122" s="172"/>
    </row>
    <row r="123" spans="1:11" ht="12.75">
      <c r="A123" s="83" t="s">
        <v>121</v>
      </c>
      <c r="B123" s="84">
        <v>75030811</v>
      </c>
      <c r="C123" s="61">
        <v>3111</v>
      </c>
      <c r="D123" s="85">
        <v>1653</v>
      </c>
      <c r="E123" s="85">
        <v>0</v>
      </c>
      <c r="F123" s="85">
        <v>618</v>
      </c>
      <c r="G123" s="85">
        <v>17</v>
      </c>
      <c r="H123" s="173">
        <f t="shared" si="8"/>
        <v>2288</v>
      </c>
      <c r="I123" s="68">
        <v>11.2</v>
      </c>
      <c r="K123" s="172"/>
    </row>
    <row r="124" spans="1:11" ht="12.75">
      <c r="A124" s="83" t="s">
        <v>122</v>
      </c>
      <c r="B124" s="84">
        <v>75030829</v>
      </c>
      <c r="C124" s="61">
        <v>3111</v>
      </c>
      <c r="D124" s="85">
        <v>2022</v>
      </c>
      <c r="E124" s="85">
        <v>0</v>
      </c>
      <c r="F124" s="85">
        <v>756</v>
      </c>
      <c r="G124" s="85">
        <v>20</v>
      </c>
      <c r="H124" s="173">
        <f t="shared" si="8"/>
        <v>2798</v>
      </c>
      <c r="I124" s="68">
        <v>14</v>
      </c>
      <c r="K124" s="172"/>
    </row>
    <row r="125" spans="1:11" ht="12.75">
      <c r="A125" s="22" t="s">
        <v>123</v>
      </c>
      <c r="B125" s="24">
        <v>63829916</v>
      </c>
      <c r="C125" s="61">
        <v>3111</v>
      </c>
      <c r="D125" s="39">
        <v>1672</v>
      </c>
      <c r="E125" s="39">
        <v>0</v>
      </c>
      <c r="F125" s="39">
        <v>625</v>
      </c>
      <c r="G125" s="39">
        <v>16</v>
      </c>
      <c r="H125" s="173">
        <f t="shared" si="8"/>
        <v>2313</v>
      </c>
      <c r="I125" s="68">
        <v>11.3</v>
      </c>
      <c r="K125" s="172"/>
    </row>
    <row r="126" spans="1:11" ht="12.75">
      <c r="A126" s="83" t="s">
        <v>124</v>
      </c>
      <c r="B126" s="84">
        <v>75030837</v>
      </c>
      <c r="C126" s="61">
        <v>3111</v>
      </c>
      <c r="D126" s="85">
        <v>1777</v>
      </c>
      <c r="E126" s="85">
        <v>0</v>
      </c>
      <c r="F126" s="85">
        <v>665</v>
      </c>
      <c r="G126" s="85">
        <v>18</v>
      </c>
      <c r="H126" s="176">
        <f t="shared" si="8"/>
        <v>2460</v>
      </c>
      <c r="I126" s="68">
        <v>12</v>
      </c>
      <c r="K126" s="172"/>
    </row>
    <row r="127" spans="1:11" ht="12.75">
      <c r="A127" s="86" t="s">
        <v>125</v>
      </c>
      <c r="B127" s="87"/>
      <c r="C127" s="107"/>
      <c r="D127" s="88"/>
      <c r="E127" s="88"/>
      <c r="F127" s="88"/>
      <c r="G127" s="88"/>
      <c r="H127" s="88"/>
      <c r="I127" s="68"/>
      <c r="K127" s="172"/>
    </row>
    <row r="128" spans="1:11" ht="12.75">
      <c r="A128" s="22" t="s">
        <v>126</v>
      </c>
      <c r="B128" s="24">
        <v>70884501</v>
      </c>
      <c r="C128" s="61">
        <v>3111</v>
      </c>
      <c r="D128" s="52">
        <v>4087</v>
      </c>
      <c r="E128" s="52">
        <v>0</v>
      </c>
      <c r="F128" s="52">
        <v>1529</v>
      </c>
      <c r="G128" s="52">
        <v>45</v>
      </c>
      <c r="H128" s="38">
        <f aca="true" t="shared" si="9" ref="H128:H138">SUM(D128:G128)</f>
        <v>5661</v>
      </c>
      <c r="I128" s="68">
        <v>29.1</v>
      </c>
      <c r="K128" s="172"/>
    </row>
    <row r="129" spans="1:11" ht="12.75">
      <c r="A129" s="22" t="s">
        <v>127</v>
      </c>
      <c r="B129" s="24">
        <v>70884471</v>
      </c>
      <c r="C129" s="61">
        <v>3111</v>
      </c>
      <c r="D129" s="39">
        <v>2170</v>
      </c>
      <c r="E129" s="39">
        <v>5</v>
      </c>
      <c r="F129" s="39">
        <v>813</v>
      </c>
      <c r="G129" s="39">
        <v>25</v>
      </c>
      <c r="H129" s="173">
        <f t="shared" si="9"/>
        <v>3013</v>
      </c>
      <c r="I129" s="68">
        <v>15.8</v>
      </c>
      <c r="K129" s="172"/>
    </row>
    <row r="130" spans="1:11" ht="12.75">
      <c r="A130" s="22" t="s">
        <v>128</v>
      </c>
      <c r="B130" s="24">
        <v>70920796</v>
      </c>
      <c r="C130" s="61">
        <v>3111</v>
      </c>
      <c r="D130" s="39">
        <v>2108</v>
      </c>
      <c r="E130" s="39">
        <v>6</v>
      </c>
      <c r="F130" s="39">
        <v>791</v>
      </c>
      <c r="G130" s="39">
        <v>26</v>
      </c>
      <c r="H130" s="173">
        <f t="shared" si="9"/>
        <v>2931</v>
      </c>
      <c r="I130" s="68">
        <v>15</v>
      </c>
      <c r="K130" s="172"/>
    </row>
    <row r="131" spans="1:11" ht="12.75">
      <c r="A131" s="22" t="s">
        <v>129</v>
      </c>
      <c r="B131" s="24">
        <v>70919593</v>
      </c>
      <c r="C131" s="61">
        <v>3111</v>
      </c>
      <c r="D131" s="39">
        <v>1687</v>
      </c>
      <c r="E131" s="39">
        <v>0</v>
      </c>
      <c r="F131" s="39">
        <v>631</v>
      </c>
      <c r="G131" s="39">
        <v>18</v>
      </c>
      <c r="H131" s="173">
        <f t="shared" si="9"/>
        <v>2336</v>
      </c>
      <c r="I131" s="68">
        <v>11.9</v>
      </c>
      <c r="K131" s="172"/>
    </row>
    <row r="132" spans="1:11" ht="12.75">
      <c r="A132" s="22" t="s">
        <v>130</v>
      </c>
      <c r="B132" s="24">
        <v>70918317</v>
      </c>
      <c r="C132" s="61">
        <v>3111</v>
      </c>
      <c r="D132" s="39">
        <v>2213</v>
      </c>
      <c r="E132" s="39">
        <v>0</v>
      </c>
      <c r="F132" s="39">
        <v>829</v>
      </c>
      <c r="G132" s="39">
        <v>25</v>
      </c>
      <c r="H132" s="173">
        <f t="shared" si="9"/>
        <v>3067</v>
      </c>
      <c r="I132" s="68">
        <v>14.5</v>
      </c>
      <c r="K132" s="172"/>
    </row>
    <row r="133" spans="1:11" ht="12.75">
      <c r="A133" s="83" t="s">
        <v>131</v>
      </c>
      <c r="B133" s="84">
        <v>75031604</v>
      </c>
      <c r="C133" s="61">
        <v>3111</v>
      </c>
      <c r="D133" s="85">
        <v>1417</v>
      </c>
      <c r="E133" s="85">
        <v>0</v>
      </c>
      <c r="F133" s="85">
        <v>530</v>
      </c>
      <c r="G133" s="85">
        <v>16</v>
      </c>
      <c r="H133" s="173">
        <f t="shared" si="9"/>
        <v>1963</v>
      </c>
      <c r="I133" s="68">
        <v>10.2</v>
      </c>
      <c r="K133" s="172"/>
    </row>
    <row r="134" spans="1:11" ht="12.75">
      <c r="A134" s="22" t="s">
        <v>132</v>
      </c>
      <c r="B134" s="24">
        <v>70884498</v>
      </c>
      <c r="C134" s="61">
        <v>3111</v>
      </c>
      <c r="D134" s="39">
        <v>4620</v>
      </c>
      <c r="E134" s="39">
        <v>0</v>
      </c>
      <c r="F134" s="39">
        <v>1729</v>
      </c>
      <c r="G134" s="39">
        <v>50</v>
      </c>
      <c r="H134" s="173">
        <f t="shared" si="9"/>
        <v>6399</v>
      </c>
      <c r="I134" s="68">
        <v>32.5</v>
      </c>
      <c r="K134" s="172"/>
    </row>
    <row r="135" spans="1:11" ht="12.75">
      <c r="A135" s="22" t="s">
        <v>133</v>
      </c>
      <c r="B135" s="24">
        <v>70920257</v>
      </c>
      <c r="C135" s="61">
        <v>3111</v>
      </c>
      <c r="D135" s="39">
        <v>2111</v>
      </c>
      <c r="E135" s="39">
        <v>4</v>
      </c>
      <c r="F135" s="39">
        <v>791</v>
      </c>
      <c r="G135" s="39">
        <v>20</v>
      </c>
      <c r="H135" s="173">
        <f t="shared" si="9"/>
        <v>2926</v>
      </c>
      <c r="I135" s="68">
        <v>14.5</v>
      </c>
      <c r="K135" s="172"/>
    </row>
    <row r="136" spans="1:11" ht="12.75">
      <c r="A136" s="22" t="s">
        <v>134</v>
      </c>
      <c r="B136" s="24">
        <v>70921105</v>
      </c>
      <c r="C136" s="61">
        <v>3111</v>
      </c>
      <c r="D136" s="39">
        <v>2227</v>
      </c>
      <c r="E136" s="39">
        <v>0</v>
      </c>
      <c r="F136" s="39">
        <v>834</v>
      </c>
      <c r="G136" s="39">
        <v>25</v>
      </c>
      <c r="H136" s="173">
        <f t="shared" si="9"/>
        <v>3086</v>
      </c>
      <c r="I136" s="68">
        <v>14.5</v>
      </c>
      <c r="K136" s="172"/>
    </row>
    <row r="137" spans="1:11" ht="12.75">
      <c r="A137" s="22" t="s">
        <v>135</v>
      </c>
      <c r="B137" s="24">
        <v>70884480</v>
      </c>
      <c r="C137" s="61">
        <v>3111</v>
      </c>
      <c r="D137" s="39">
        <v>2219</v>
      </c>
      <c r="E137" s="39">
        <v>5</v>
      </c>
      <c r="F137" s="39">
        <v>832</v>
      </c>
      <c r="G137" s="39">
        <v>26</v>
      </c>
      <c r="H137" s="173">
        <f t="shared" si="9"/>
        <v>3082</v>
      </c>
      <c r="I137" s="68">
        <v>15</v>
      </c>
      <c r="K137" s="172"/>
    </row>
    <row r="138" spans="1:11" ht="12.75">
      <c r="A138" s="22" t="s">
        <v>136</v>
      </c>
      <c r="B138" s="24">
        <v>70920818</v>
      </c>
      <c r="C138" s="61">
        <v>3111</v>
      </c>
      <c r="D138" s="39">
        <v>2076</v>
      </c>
      <c r="E138" s="39">
        <v>0</v>
      </c>
      <c r="F138" s="39">
        <v>776</v>
      </c>
      <c r="G138" s="39">
        <v>20</v>
      </c>
      <c r="H138" s="173">
        <f t="shared" si="9"/>
        <v>2872</v>
      </c>
      <c r="I138" s="68">
        <v>13.5</v>
      </c>
      <c r="K138" s="172"/>
    </row>
    <row r="139" spans="1:11" ht="12.75">
      <c r="A139" s="89" t="s">
        <v>137</v>
      </c>
      <c r="B139" s="19"/>
      <c r="C139" s="48"/>
      <c r="D139" s="37"/>
      <c r="E139" s="37"/>
      <c r="F139" s="37"/>
      <c r="G139" s="37"/>
      <c r="H139" s="37"/>
      <c r="I139" s="68"/>
      <c r="K139" s="172"/>
    </row>
    <row r="140" spans="1:11" ht="12.75">
      <c r="A140" s="5" t="s">
        <v>138</v>
      </c>
      <c r="B140" s="6">
        <v>70108013</v>
      </c>
      <c r="C140" s="61">
        <v>3111</v>
      </c>
      <c r="D140" s="7">
        <v>1074</v>
      </c>
      <c r="E140" s="7">
        <v>0</v>
      </c>
      <c r="F140" s="7">
        <v>403</v>
      </c>
      <c r="G140" s="7">
        <v>12</v>
      </c>
      <c r="H140" s="173">
        <f>SUM(D140:G140)</f>
        <v>1489</v>
      </c>
      <c r="I140" s="68">
        <v>7.2</v>
      </c>
      <c r="K140" s="172"/>
    </row>
    <row r="141" spans="1:11" ht="12.75">
      <c r="A141" s="22" t="s">
        <v>139</v>
      </c>
      <c r="B141" s="24">
        <v>68404379</v>
      </c>
      <c r="C141" s="61">
        <v>3111</v>
      </c>
      <c r="D141" s="39">
        <v>2634</v>
      </c>
      <c r="E141" s="39">
        <v>14</v>
      </c>
      <c r="F141" s="39">
        <v>990</v>
      </c>
      <c r="G141" s="39">
        <v>25</v>
      </c>
      <c r="H141" s="173">
        <f>SUM(D141:G141)</f>
        <v>3663</v>
      </c>
      <c r="I141" s="68">
        <v>17.6</v>
      </c>
      <c r="K141" s="172"/>
    </row>
    <row r="142" spans="1:11" ht="12.75">
      <c r="A142" s="22" t="s">
        <v>140</v>
      </c>
      <c r="B142" s="24">
        <v>70098093</v>
      </c>
      <c r="C142" s="61">
        <v>3111</v>
      </c>
      <c r="D142" s="39">
        <v>1811</v>
      </c>
      <c r="E142" s="39">
        <v>6</v>
      </c>
      <c r="F142" s="39">
        <v>680</v>
      </c>
      <c r="G142" s="39">
        <v>20</v>
      </c>
      <c r="H142" s="173">
        <f>SUM(D142:G142)</f>
        <v>2517</v>
      </c>
      <c r="I142" s="68">
        <v>12</v>
      </c>
      <c r="K142" s="172"/>
    </row>
    <row r="143" spans="1:11" ht="12.75">
      <c r="A143" s="22" t="s">
        <v>566</v>
      </c>
      <c r="B143" s="24">
        <v>70882541</v>
      </c>
      <c r="C143" s="61">
        <v>3111</v>
      </c>
      <c r="D143" s="39">
        <v>3937</v>
      </c>
      <c r="E143" s="39">
        <v>40</v>
      </c>
      <c r="F143" s="39">
        <v>1486</v>
      </c>
      <c r="G143" s="39">
        <v>43</v>
      </c>
      <c r="H143" s="173">
        <f>SUM(D143:G143)</f>
        <v>5506</v>
      </c>
      <c r="I143" s="68">
        <v>26.4</v>
      </c>
      <c r="K143" s="172"/>
    </row>
    <row r="144" spans="1:11" ht="12.75">
      <c r="A144" s="90" t="s">
        <v>141</v>
      </c>
      <c r="B144" s="53">
        <v>71008292</v>
      </c>
      <c r="C144" s="61">
        <v>3111</v>
      </c>
      <c r="D144" s="91">
        <v>979</v>
      </c>
      <c r="E144" s="91">
        <v>0</v>
      </c>
      <c r="F144" s="91">
        <v>366</v>
      </c>
      <c r="G144" s="91">
        <v>10</v>
      </c>
      <c r="H144" s="174">
        <f>SUM(D144:G144)</f>
        <v>1355</v>
      </c>
      <c r="I144" s="68">
        <v>7</v>
      </c>
      <c r="K144" s="172"/>
    </row>
    <row r="145" spans="1:11" ht="12.75">
      <c r="A145" s="63" t="s">
        <v>142</v>
      </c>
      <c r="B145" s="40"/>
      <c r="C145" s="48"/>
      <c r="D145" s="75"/>
      <c r="E145" s="75"/>
      <c r="F145" s="75"/>
      <c r="G145" s="75"/>
      <c r="H145" s="75"/>
      <c r="I145" s="68"/>
      <c r="K145" s="172"/>
    </row>
    <row r="146" spans="1:11" ht="12.75">
      <c r="A146" s="92" t="s">
        <v>143</v>
      </c>
      <c r="B146" s="93">
        <v>68379374</v>
      </c>
      <c r="C146" s="149">
        <v>3112</v>
      </c>
      <c r="D146" s="94">
        <v>1907</v>
      </c>
      <c r="E146" s="94">
        <v>6</v>
      </c>
      <c r="F146" s="94">
        <v>715</v>
      </c>
      <c r="G146" s="94">
        <v>12</v>
      </c>
      <c r="H146" s="38">
        <f>SUM(D146:G146)</f>
        <v>2640</v>
      </c>
      <c r="I146" s="68">
        <v>12.1</v>
      </c>
      <c r="K146" s="172"/>
    </row>
    <row r="147" spans="1:11" ht="12.75">
      <c r="A147" s="90" t="s">
        <v>144</v>
      </c>
      <c r="B147" s="53">
        <v>70974144</v>
      </c>
      <c r="C147" s="61">
        <v>3111</v>
      </c>
      <c r="D147" s="54">
        <v>3376</v>
      </c>
      <c r="E147" s="54">
        <v>40</v>
      </c>
      <c r="F147" s="54">
        <v>1277</v>
      </c>
      <c r="G147" s="54">
        <v>34</v>
      </c>
      <c r="H147" s="173">
        <f>SUM(D147:G147)</f>
        <v>4727</v>
      </c>
      <c r="I147" s="68">
        <v>23.4</v>
      </c>
      <c r="K147" s="172"/>
    </row>
    <row r="148" spans="1:11" ht="12.75">
      <c r="A148" s="90" t="s">
        <v>145</v>
      </c>
      <c r="B148" s="53">
        <v>70974161</v>
      </c>
      <c r="C148" s="61">
        <v>3111</v>
      </c>
      <c r="D148" s="54">
        <v>4261</v>
      </c>
      <c r="E148" s="54">
        <v>5</v>
      </c>
      <c r="F148" s="54">
        <v>1596</v>
      </c>
      <c r="G148" s="54">
        <v>33</v>
      </c>
      <c r="H148" s="173">
        <f>SUM(D148:G148)</f>
        <v>5895</v>
      </c>
      <c r="I148" s="68">
        <v>26</v>
      </c>
      <c r="K148" s="172"/>
    </row>
    <row r="149" spans="1:11" ht="12.75">
      <c r="A149" s="90" t="s">
        <v>146</v>
      </c>
      <c r="B149" s="53">
        <v>70974152</v>
      </c>
      <c r="C149" s="61">
        <v>3111</v>
      </c>
      <c r="D149" s="54">
        <v>3587</v>
      </c>
      <c r="E149" s="54">
        <v>0</v>
      </c>
      <c r="F149" s="54">
        <v>1342</v>
      </c>
      <c r="G149" s="54">
        <v>35</v>
      </c>
      <c r="H149" s="173">
        <f>SUM(D149:G149)</f>
        <v>4964</v>
      </c>
      <c r="I149" s="68">
        <v>24.5</v>
      </c>
      <c r="K149" s="172"/>
    </row>
    <row r="150" spans="1:11" ht="12.75">
      <c r="A150" s="90" t="s">
        <v>147</v>
      </c>
      <c r="B150" s="53">
        <v>70974179</v>
      </c>
      <c r="C150" s="61">
        <v>3111</v>
      </c>
      <c r="D150" s="91">
        <v>1805</v>
      </c>
      <c r="E150" s="91">
        <v>0</v>
      </c>
      <c r="F150" s="91">
        <v>675</v>
      </c>
      <c r="G150" s="91">
        <v>18</v>
      </c>
      <c r="H150" s="174">
        <f>SUM(D150:G150)</f>
        <v>2498</v>
      </c>
      <c r="I150" s="68">
        <v>12</v>
      </c>
      <c r="K150" s="172"/>
    </row>
    <row r="151" spans="1:11" ht="12.75">
      <c r="A151" s="63" t="s">
        <v>148</v>
      </c>
      <c r="B151" s="40"/>
      <c r="C151" s="48"/>
      <c r="D151" s="75"/>
      <c r="E151" s="75"/>
      <c r="F151" s="75"/>
      <c r="G151" s="75"/>
      <c r="H151" s="75"/>
      <c r="I151" s="68"/>
      <c r="K151" s="172"/>
    </row>
    <row r="152" spans="1:11" ht="12.75">
      <c r="A152" s="22" t="s">
        <v>149</v>
      </c>
      <c r="B152" s="24">
        <v>70883394</v>
      </c>
      <c r="C152" s="61">
        <v>3111</v>
      </c>
      <c r="D152" s="95">
        <v>2987</v>
      </c>
      <c r="E152" s="95">
        <v>16</v>
      </c>
      <c r="F152" s="95">
        <v>1121</v>
      </c>
      <c r="G152" s="95">
        <v>32</v>
      </c>
      <c r="H152" s="177">
        <f>SUM(D152:G152)</f>
        <v>4156</v>
      </c>
      <c r="I152" s="68">
        <v>18</v>
      </c>
      <c r="K152" s="172"/>
    </row>
    <row r="153" spans="1:11" ht="12.75">
      <c r="A153" s="63" t="s">
        <v>150</v>
      </c>
      <c r="B153" s="40"/>
      <c r="C153" s="48"/>
      <c r="D153" s="75"/>
      <c r="E153" s="75"/>
      <c r="F153" s="75"/>
      <c r="G153" s="75"/>
      <c r="H153" s="75"/>
      <c r="I153" s="68"/>
      <c r="K153" s="172"/>
    </row>
    <row r="154" spans="1:11" ht="13.5" thickBot="1">
      <c r="A154" s="25" t="s">
        <v>151</v>
      </c>
      <c r="B154" s="26">
        <v>70920290</v>
      </c>
      <c r="C154" s="10">
        <v>3111</v>
      </c>
      <c r="D154" s="97">
        <v>3232</v>
      </c>
      <c r="E154" s="97">
        <v>0</v>
      </c>
      <c r="F154" s="97">
        <v>1209</v>
      </c>
      <c r="G154" s="97">
        <v>35</v>
      </c>
      <c r="H154" s="178">
        <f>SUM(D154:G154)</f>
        <v>4476</v>
      </c>
      <c r="I154" s="70">
        <v>21.5</v>
      </c>
      <c r="K154" s="172"/>
    </row>
    <row r="155" spans="1:11" ht="12.75">
      <c r="A155" s="19"/>
      <c r="B155" s="19"/>
      <c r="C155" s="19"/>
      <c r="D155" s="37"/>
      <c r="E155" s="19"/>
      <c r="F155" s="19"/>
      <c r="G155" s="19"/>
      <c r="H155" s="37"/>
      <c r="I155" s="71"/>
      <c r="K155" s="172"/>
    </row>
    <row r="156" spans="1:11" ht="13.5" thickBot="1">
      <c r="A156" s="19"/>
      <c r="B156" s="19"/>
      <c r="C156" s="19"/>
      <c r="D156" s="37"/>
      <c r="E156" s="19"/>
      <c r="F156" s="19"/>
      <c r="G156" s="19"/>
      <c r="H156" s="37"/>
      <c r="I156" s="71"/>
      <c r="K156" s="172"/>
    </row>
    <row r="157" spans="1:11" ht="12.75" customHeight="1">
      <c r="A157" s="185" t="s">
        <v>297</v>
      </c>
      <c r="B157" s="187" t="s">
        <v>0</v>
      </c>
      <c r="C157" s="190" t="s">
        <v>17</v>
      </c>
      <c r="D157" s="187" t="s">
        <v>18</v>
      </c>
      <c r="E157" s="187"/>
      <c r="F157" s="187"/>
      <c r="G157" s="187"/>
      <c r="H157" s="187"/>
      <c r="I157" s="189"/>
      <c r="K157" s="172"/>
    </row>
    <row r="158" spans="1:11" ht="26.25" thickBot="1">
      <c r="A158" s="186"/>
      <c r="B158" s="188"/>
      <c r="C158" s="191"/>
      <c r="D158" s="1" t="s">
        <v>2</v>
      </c>
      <c r="E158" s="1" t="s">
        <v>3</v>
      </c>
      <c r="F158" s="1" t="s">
        <v>4</v>
      </c>
      <c r="G158" s="1" t="s">
        <v>5</v>
      </c>
      <c r="H158" s="1" t="s">
        <v>6</v>
      </c>
      <c r="I158" s="2" t="s">
        <v>9</v>
      </c>
      <c r="K158" s="172"/>
    </row>
    <row r="159" spans="1:11" ht="12.75">
      <c r="A159" s="98" t="s">
        <v>152</v>
      </c>
      <c r="B159" s="99">
        <v>75031370</v>
      </c>
      <c r="C159" s="61">
        <v>3111</v>
      </c>
      <c r="D159" s="100">
        <v>2246</v>
      </c>
      <c r="E159" s="100">
        <v>3</v>
      </c>
      <c r="F159" s="100">
        <v>841</v>
      </c>
      <c r="G159" s="100">
        <v>23</v>
      </c>
      <c r="H159" s="173">
        <f>SUM(D159:G159)</f>
        <v>3113</v>
      </c>
      <c r="I159" s="81">
        <v>15</v>
      </c>
      <c r="K159" s="172"/>
    </row>
    <row r="160" spans="1:11" ht="12.75">
      <c r="A160" s="90" t="s">
        <v>153</v>
      </c>
      <c r="B160" s="53">
        <v>75031388</v>
      </c>
      <c r="C160" s="61">
        <v>3111</v>
      </c>
      <c r="D160" s="54">
        <v>1515</v>
      </c>
      <c r="E160" s="54">
        <v>0</v>
      </c>
      <c r="F160" s="54">
        <v>567</v>
      </c>
      <c r="G160" s="54">
        <v>15</v>
      </c>
      <c r="H160" s="173">
        <f>SUM(D160:G160)</f>
        <v>2097</v>
      </c>
      <c r="I160" s="68">
        <v>10</v>
      </c>
      <c r="K160" s="172"/>
    </row>
    <row r="161" spans="1:11" ht="12.75">
      <c r="A161" s="90" t="s">
        <v>154</v>
      </c>
      <c r="B161" s="53">
        <v>70987726</v>
      </c>
      <c r="C161" s="61">
        <v>3111</v>
      </c>
      <c r="D161" s="91">
        <v>1401</v>
      </c>
      <c r="E161" s="91">
        <v>5</v>
      </c>
      <c r="F161" s="91">
        <v>526</v>
      </c>
      <c r="G161" s="91">
        <v>15</v>
      </c>
      <c r="H161" s="174">
        <f>SUM(D161:G161)</f>
        <v>1947</v>
      </c>
      <c r="I161" s="68">
        <v>8.5</v>
      </c>
      <c r="K161" s="172"/>
    </row>
    <row r="162" spans="1:11" ht="12.75">
      <c r="A162" s="63" t="s">
        <v>155</v>
      </c>
      <c r="B162" s="40"/>
      <c r="C162" s="48"/>
      <c r="D162" s="75"/>
      <c r="E162" s="75"/>
      <c r="F162" s="75"/>
      <c r="G162" s="75"/>
      <c r="H162" s="66"/>
      <c r="I162" s="68"/>
      <c r="K162" s="172"/>
    </row>
    <row r="163" spans="1:11" ht="12.75">
      <c r="A163" s="22" t="s">
        <v>156</v>
      </c>
      <c r="B163" s="24">
        <v>70945381</v>
      </c>
      <c r="C163" s="61">
        <v>3111</v>
      </c>
      <c r="D163" s="52">
        <v>4112</v>
      </c>
      <c r="E163" s="52">
        <v>6</v>
      </c>
      <c r="F163" s="52">
        <v>1540</v>
      </c>
      <c r="G163" s="52">
        <v>45</v>
      </c>
      <c r="H163" s="38">
        <f>SUM(D163:G163)</f>
        <v>5703</v>
      </c>
      <c r="I163" s="68">
        <v>27.4</v>
      </c>
      <c r="K163" s="172"/>
    </row>
    <row r="164" spans="1:11" ht="12.75">
      <c r="A164" s="3" t="s">
        <v>157</v>
      </c>
      <c r="B164" s="23">
        <v>70922144</v>
      </c>
      <c r="C164" s="61">
        <v>3111</v>
      </c>
      <c r="D164" s="95">
        <v>2172</v>
      </c>
      <c r="E164" s="95">
        <v>14</v>
      </c>
      <c r="F164" s="95">
        <v>817</v>
      </c>
      <c r="G164" s="95">
        <v>23</v>
      </c>
      <c r="H164" s="174">
        <f>SUM(D164:G164)</f>
        <v>3026</v>
      </c>
      <c r="I164" s="68">
        <v>14.6</v>
      </c>
      <c r="K164" s="172"/>
    </row>
    <row r="165" spans="1:11" ht="12.75">
      <c r="A165" s="22" t="s">
        <v>158</v>
      </c>
      <c r="B165" s="40"/>
      <c r="C165" s="48"/>
      <c r="D165" s="48"/>
      <c r="E165" s="48"/>
      <c r="F165" s="48"/>
      <c r="G165" s="48"/>
      <c r="H165" s="48"/>
      <c r="I165" s="68"/>
      <c r="K165" s="172"/>
    </row>
    <row r="166" spans="1:11" ht="12.75">
      <c r="A166" s="22" t="s">
        <v>159</v>
      </c>
      <c r="B166" s="24">
        <v>49367820</v>
      </c>
      <c r="C166" s="61">
        <v>3111</v>
      </c>
      <c r="D166" s="52">
        <v>1308</v>
      </c>
      <c r="E166" s="23">
        <v>17</v>
      </c>
      <c r="F166" s="23">
        <v>495</v>
      </c>
      <c r="G166" s="23">
        <v>13</v>
      </c>
      <c r="H166" s="38">
        <f>SUM(D166:G166)</f>
        <v>1833</v>
      </c>
      <c r="I166" s="68">
        <v>8.9</v>
      </c>
      <c r="K166" s="172"/>
    </row>
    <row r="167" spans="1:11" ht="12.75">
      <c r="A167" s="22" t="s">
        <v>160</v>
      </c>
      <c r="B167" s="24">
        <v>49371665</v>
      </c>
      <c r="C167" s="61">
        <v>3111</v>
      </c>
      <c r="D167" s="39">
        <v>1127</v>
      </c>
      <c r="E167" s="24">
        <v>64</v>
      </c>
      <c r="F167" s="24">
        <v>443</v>
      </c>
      <c r="G167" s="24">
        <v>14</v>
      </c>
      <c r="H167" s="173">
        <f>SUM(D167:G167)</f>
        <v>1648</v>
      </c>
      <c r="I167" s="68">
        <v>8.2</v>
      </c>
      <c r="K167" s="172"/>
    </row>
    <row r="168" spans="1:11" ht="12.75">
      <c r="A168" s="22" t="s">
        <v>161</v>
      </c>
      <c r="B168" s="24">
        <v>70947562</v>
      </c>
      <c r="C168" s="61">
        <v>3111</v>
      </c>
      <c r="D168" s="39">
        <v>1394</v>
      </c>
      <c r="E168" s="24">
        <v>8</v>
      </c>
      <c r="F168" s="24">
        <v>524</v>
      </c>
      <c r="G168" s="24">
        <v>13</v>
      </c>
      <c r="H168" s="173">
        <f>SUM(D168:G168)</f>
        <v>1939</v>
      </c>
      <c r="I168" s="68">
        <v>8.7</v>
      </c>
      <c r="K168" s="172"/>
    </row>
    <row r="169" spans="1:11" ht="12.75">
      <c r="A169" s="22" t="s">
        <v>162</v>
      </c>
      <c r="B169" s="24">
        <v>63832372</v>
      </c>
      <c r="C169" s="61">
        <v>3111</v>
      </c>
      <c r="D169" s="42">
        <v>1648</v>
      </c>
      <c r="E169" s="41">
        <v>17</v>
      </c>
      <c r="F169" s="41">
        <v>622</v>
      </c>
      <c r="G169" s="41">
        <v>17</v>
      </c>
      <c r="H169" s="174">
        <f>SUM(D169:G169)</f>
        <v>2304</v>
      </c>
      <c r="I169" s="68">
        <v>11.2</v>
      </c>
      <c r="K169" s="172"/>
    </row>
    <row r="170" spans="1:11" ht="12.75">
      <c r="A170" s="74" t="s">
        <v>163</v>
      </c>
      <c r="B170" s="40"/>
      <c r="C170" s="48"/>
      <c r="D170" s="48"/>
      <c r="E170" s="48"/>
      <c r="F170" s="48"/>
      <c r="G170" s="48"/>
      <c r="H170" s="48"/>
      <c r="I170" s="68"/>
      <c r="K170" s="172"/>
    </row>
    <row r="171" spans="1:11" ht="12.75">
      <c r="A171" s="5" t="s">
        <v>164</v>
      </c>
      <c r="B171" s="6">
        <v>70890935</v>
      </c>
      <c r="C171" s="61">
        <v>3111</v>
      </c>
      <c r="D171" s="16">
        <v>3003</v>
      </c>
      <c r="E171" s="16">
        <v>8</v>
      </c>
      <c r="F171" s="16">
        <v>1126</v>
      </c>
      <c r="G171" s="16">
        <v>31</v>
      </c>
      <c r="H171" s="38">
        <f aca="true" t="shared" si="10" ref="H171:H178">SUM(D171:G171)</f>
        <v>4168</v>
      </c>
      <c r="I171" s="68">
        <v>20</v>
      </c>
      <c r="K171" s="172"/>
    </row>
    <row r="172" spans="1:11" ht="12.75">
      <c r="A172" s="5" t="s">
        <v>165</v>
      </c>
      <c r="B172" s="6">
        <v>60461101</v>
      </c>
      <c r="C172" s="61">
        <v>3111</v>
      </c>
      <c r="D172" s="7">
        <v>3201</v>
      </c>
      <c r="E172" s="7">
        <v>16</v>
      </c>
      <c r="F172" s="7">
        <v>1203</v>
      </c>
      <c r="G172" s="7">
        <v>30</v>
      </c>
      <c r="H172" s="173">
        <f t="shared" si="10"/>
        <v>4450</v>
      </c>
      <c r="I172" s="68">
        <v>20.5</v>
      </c>
      <c r="K172" s="172"/>
    </row>
    <row r="173" spans="1:11" ht="12.75">
      <c r="A173" s="5" t="s">
        <v>166</v>
      </c>
      <c r="B173" s="6">
        <v>60461098</v>
      </c>
      <c r="C173" s="61">
        <v>3111</v>
      </c>
      <c r="D173" s="7">
        <v>2299</v>
      </c>
      <c r="E173" s="7">
        <v>7</v>
      </c>
      <c r="F173" s="7">
        <v>863</v>
      </c>
      <c r="G173" s="7">
        <v>25</v>
      </c>
      <c r="H173" s="173">
        <f t="shared" si="10"/>
        <v>3194</v>
      </c>
      <c r="I173" s="68">
        <v>15</v>
      </c>
      <c r="K173" s="172"/>
    </row>
    <row r="174" spans="1:11" ht="12.75">
      <c r="A174" s="5" t="s">
        <v>167</v>
      </c>
      <c r="B174" s="6">
        <v>70891028</v>
      </c>
      <c r="C174" s="61">
        <v>3111</v>
      </c>
      <c r="D174" s="7">
        <v>2751</v>
      </c>
      <c r="E174" s="7">
        <v>12</v>
      </c>
      <c r="F174" s="7">
        <v>1033</v>
      </c>
      <c r="G174" s="7">
        <v>29</v>
      </c>
      <c r="H174" s="173">
        <f t="shared" si="10"/>
        <v>3825</v>
      </c>
      <c r="I174" s="68">
        <v>18.5</v>
      </c>
      <c r="K174" s="172"/>
    </row>
    <row r="175" spans="1:11" ht="12.75">
      <c r="A175" s="5" t="s">
        <v>168</v>
      </c>
      <c r="B175" s="6">
        <v>70890943</v>
      </c>
      <c r="C175" s="61">
        <v>3111</v>
      </c>
      <c r="D175" s="7">
        <v>4710</v>
      </c>
      <c r="E175" s="7">
        <v>78</v>
      </c>
      <c r="F175" s="7">
        <v>1789</v>
      </c>
      <c r="G175" s="7">
        <v>46</v>
      </c>
      <c r="H175" s="173">
        <f t="shared" si="10"/>
        <v>6623</v>
      </c>
      <c r="I175" s="68">
        <v>37.5</v>
      </c>
      <c r="K175" s="172"/>
    </row>
    <row r="176" spans="1:11" ht="12.75">
      <c r="A176" s="5" t="s">
        <v>169</v>
      </c>
      <c r="B176" s="6">
        <v>70890897</v>
      </c>
      <c r="C176" s="61">
        <v>3111</v>
      </c>
      <c r="D176" s="7">
        <v>2558</v>
      </c>
      <c r="E176" s="7">
        <v>18</v>
      </c>
      <c r="F176" s="7">
        <v>963</v>
      </c>
      <c r="G176" s="7">
        <v>34</v>
      </c>
      <c r="H176" s="173">
        <f t="shared" si="10"/>
        <v>3573</v>
      </c>
      <c r="I176" s="68">
        <v>17.5</v>
      </c>
      <c r="K176" s="172"/>
    </row>
    <row r="177" spans="1:11" ht="12.75">
      <c r="A177" s="5" t="s">
        <v>170</v>
      </c>
      <c r="B177" s="6">
        <v>70891061</v>
      </c>
      <c r="C177" s="61">
        <v>3111</v>
      </c>
      <c r="D177" s="7">
        <v>2130</v>
      </c>
      <c r="E177" s="7">
        <v>42</v>
      </c>
      <c r="F177" s="7">
        <v>812</v>
      </c>
      <c r="G177" s="7">
        <v>19</v>
      </c>
      <c r="H177" s="173">
        <f t="shared" si="10"/>
        <v>3003</v>
      </c>
      <c r="I177" s="68">
        <v>13.3</v>
      </c>
      <c r="K177" s="172"/>
    </row>
    <row r="178" spans="1:11" ht="12.75">
      <c r="A178" s="5" t="s">
        <v>171</v>
      </c>
      <c r="B178" s="6">
        <v>70890919</v>
      </c>
      <c r="C178" s="61">
        <v>3111</v>
      </c>
      <c r="D178" s="35">
        <v>3724</v>
      </c>
      <c r="E178" s="35">
        <v>0</v>
      </c>
      <c r="F178" s="35">
        <v>1393</v>
      </c>
      <c r="G178" s="35">
        <v>38</v>
      </c>
      <c r="H178" s="174">
        <f t="shared" si="10"/>
        <v>5155</v>
      </c>
      <c r="I178" s="68">
        <v>25</v>
      </c>
      <c r="K178" s="172"/>
    </row>
    <row r="179" spans="1:11" ht="12.75">
      <c r="A179" s="74" t="s">
        <v>172</v>
      </c>
      <c r="B179" s="40"/>
      <c r="C179" s="48"/>
      <c r="D179" s="48"/>
      <c r="E179" s="48"/>
      <c r="F179" s="48"/>
      <c r="G179" s="48"/>
      <c r="H179" s="48"/>
      <c r="I179" s="68"/>
      <c r="K179" s="172"/>
    </row>
    <row r="180" spans="1:11" ht="12.75">
      <c r="A180" s="22" t="s">
        <v>173</v>
      </c>
      <c r="B180" s="24">
        <v>70873062</v>
      </c>
      <c r="C180" s="6">
        <v>3111</v>
      </c>
      <c r="D180" s="23">
        <v>964</v>
      </c>
      <c r="E180" s="23">
        <v>0</v>
      </c>
      <c r="F180" s="23">
        <v>361</v>
      </c>
      <c r="G180" s="23">
        <v>9</v>
      </c>
      <c r="H180" s="38">
        <f aca="true" t="shared" si="11" ref="H180:H192">SUM(D180:G180)</f>
        <v>1334</v>
      </c>
      <c r="I180" s="68">
        <v>6</v>
      </c>
      <c r="K180" s="172"/>
    </row>
    <row r="181" spans="1:11" ht="12.75">
      <c r="A181" s="22" t="s">
        <v>174</v>
      </c>
      <c r="B181" s="24">
        <v>65992971</v>
      </c>
      <c r="C181" s="61">
        <v>3111</v>
      </c>
      <c r="D181" s="39">
        <v>3244</v>
      </c>
      <c r="E181" s="24">
        <v>0</v>
      </c>
      <c r="F181" s="24">
        <v>1213</v>
      </c>
      <c r="G181" s="24">
        <v>38</v>
      </c>
      <c r="H181" s="173">
        <f t="shared" si="11"/>
        <v>4495</v>
      </c>
      <c r="I181" s="68">
        <v>23</v>
      </c>
      <c r="K181" s="172"/>
    </row>
    <row r="182" spans="1:11" ht="12.75">
      <c r="A182" s="22" t="s">
        <v>175</v>
      </c>
      <c r="B182" s="24">
        <v>65993179</v>
      </c>
      <c r="C182" s="61">
        <v>3111</v>
      </c>
      <c r="D182" s="39">
        <v>2373</v>
      </c>
      <c r="E182" s="24">
        <v>0</v>
      </c>
      <c r="F182" s="24">
        <v>887</v>
      </c>
      <c r="G182" s="24">
        <v>24</v>
      </c>
      <c r="H182" s="173">
        <f t="shared" si="11"/>
        <v>3284</v>
      </c>
      <c r="I182" s="68">
        <v>16</v>
      </c>
      <c r="K182" s="172"/>
    </row>
    <row r="183" spans="1:11" ht="12.75">
      <c r="A183" s="22" t="s">
        <v>176</v>
      </c>
      <c r="B183" s="24">
        <v>70108552</v>
      </c>
      <c r="C183" s="61">
        <v>3111</v>
      </c>
      <c r="D183" s="39">
        <v>1926</v>
      </c>
      <c r="E183" s="24">
        <v>0</v>
      </c>
      <c r="F183" s="24">
        <v>720</v>
      </c>
      <c r="G183" s="24">
        <v>17</v>
      </c>
      <c r="H183" s="173">
        <f t="shared" si="11"/>
        <v>2663</v>
      </c>
      <c r="I183" s="68">
        <v>13</v>
      </c>
      <c r="K183" s="172"/>
    </row>
    <row r="184" spans="1:11" ht="12.75">
      <c r="A184" s="22" t="s">
        <v>177</v>
      </c>
      <c r="B184" s="24">
        <v>63831309</v>
      </c>
      <c r="C184" s="61">
        <v>3111</v>
      </c>
      <c r="D184" s="39">
        <v>1474</v>
      </c>
      <c r="E184" s="24">
        <v>0</v>
      </c>
      <c r="F184" s="24">
        <v>551</v>
      </c>
      <c r="G184" s="24">
        <v>17</v>
      </c>
      <c r="H184" s="173">
        <f t="shared" si="11"/>
        <v>2042</v>
      </c>
      <c r="I184" s="68">
        <v>10.1</v>
      </c>
      <c r="K184" s="172"/>
    </row>
    <row r="185" spans="1:11" ht="12.75">
      <c r="A185" s="22" t="s">
        <v>178</v>
      </c>
      <c r="B185" s="24">
        <v>63831287</v>
      </c>
      <c r="C185" s="61">
        <v>3111</v>
      </c>
      <c r="D185" s="39">
        <v>3101</v>
      </c>
      <c r="E185" s="24">
        <v>5</v>
      </c>
      <c r="F185" s="24">
        <v>1162</v>
      </c>
      <c r="G185" s="24">
        <v>35</v>
      </c>
      <c r="H185" s="173">
        <f t="shared" si="11"/>
        <v>4303</v>
      </c>
      <c r="I185" s="68">
        <v>21.8</v>
      </c>
      <c r="K185" s="172"/>
    </row>
    <row r="186" spans="1:11" ht="12.75">
      <c r="A186" s="22" t="s">
        <v>179</v>
      </c>
      <c r="B186" s="24">
        <v>63831295</v>
      </c>
      <c r="C186" s="61">
        <v>3111</v>
      </c>
      <c r="D186" s="39">
        <v>1373</v>
      </c>
      <c r="E186" s="24">
        <v>0</v>
      </c>
      <c r="F186" s="24">
        <v>514</v>
      </c>
      <c r="G186" s="24">
        <v>13</v>
      </c>
      <c r="H186" s="173">
        <f t="shared" si="11"/>
        <v>1900</v>
      </c>
      <c r="I186" s="68">
        <v>9.1</v>
      </c>
      <c r="K186" s="172"/>
    </row>
    <row r="187" spans="1:11" ht="12.75">
      <c r="A187" s="22" t="s">
        <v>180</v>
      </c>
      <c r="B187" s="24">
        <v>63831252</v>
      </c>
      <c r="C187" s="61">
        <v>3111</v>
      </c>
      <c r="D187" s="39">
        <v>1145</v>
      </c>
      <c r="E187" s="24">
        <v>5</v>
      </c>
      <c r="F187" s="24">
        <v>430</v>
      </c>
      <c r="G187" s="24">
        <v>8</v>
      </c>
      <c r="H187" s="173">
        <f t="shared" si="11"/>
        <v>1588</v>
      </c>
      <c r="I187" s="68">
        <v>7.8</v>
      </c>
      <c r="K187" s="172"/>
    </row>
    <row r="188" spans="1:11" ht="12.75">
      <c r="A188" s="22" t="s">
        <v>181</v>
      </c>
      <c r="B188" s="24">
        <v>65993110</v>
      </c>
      <c r="C188" s="61">
        <v>3111</v>
      </c>
      <c r="D188" s="39">
        <v>2123</v>
      </c>
      <c r="E188" s="24">
        <v>0</v>
      </c>
      <c r="F188" s="24">
        <v>794</v>
      </c>
      <c r="G188" s="24">
        <v>22</v>
      </c>
      <c r="H188" s="173">
        <f t="shared" si="11"/>
        <v>2939</v>
      </c>
      <c r="I188" s="68">
        <v>14.1</v>
      </c>
      <c r="K188" s="172"/>
    </row>
    <row r="189" spans="1:11" ht="12.75">
      <c r="A189" s="22" t="s">
        <v>182</v>
      </c>
      <c r="B189" s="24">
        <v>70871299</v>
      </c>
      <c r="C189" s="61">
        <v>3111</v>
      </c>
      <c r="D189" s="24">
        <v>904</v>
      </c>
      <c r="E189" s="24">
        <v>0</v>
      </c>
      <c r="F189" s="24">
        <v>339</v>
      </c>
      <c r="G189" s="24">
        <v>8</v>
      </c>
      <c r="H189" s="173">
        <f t="shared" si="11"/>
        <v>1251</v>
      </c>
      <c r="I189" s="68">
        <v>5.5</v>
      </c>
      <c r="K189" s="172"/>
    </row>
    <row r="190" spans="1:11" ht="12.75">
      <c r="A190" s="22" t="s">
        <v>183</v>
      </c>
      <c r="B190" s="24">
        <v>63831261</v>
      </c>
      <c r="C190" s="61">
        <v>3111</v>
      </c>
      <c r="D190" s="39">
        <v>1831</v>
      </c>
      <c r="E190" s="24">
        <v>16</v>
      </c>
      <c r="F190" s="24">
        <v>691</v>
      </c>
      <c r="G190" s="24">
        <v>14</v>
      </c>
      <c r="H190" s="173">
        <f t="shared" si="11"/>
        <v>2552</v>
      </c>
      <c r="I190" s="68">
        <v>11.5</v>
      </c>
      <c r="K190" s="172"/>
    </row>
    <row r="191" spans="1:11" ht="12.75">
      <c r="A191" s="22" t="s">
        <v>184</v>
      </c>
      <c r="B191" s="24">
        <v>63831317</v>
      </c>
      <c r="C191" s="61">
        <v>3111</v>
      </c>
      <c r="D191" s="39">
        <v>1951</v>
      </c>
      <c r="E191" s="24">
        <v>0</v>
      </c>
      <c r="F191" s="24">
        <v>730</v>
      </c>
      <c r="G191" s="24">
        <v>25</v>
      </c>
      <c r="H191" s="173">
        <f t="shared" si="11"/>
        <v>2706</v>
      </c>
      <c r="I191" s="68">
        <v>12.2</v>
      </c>
      <c r="K191" s="172"/>
    </row>
    <row r="192" spans="1:11" ht="13.5" thickBot="1">
      <c r="A192" s="25" t="s">
        <v>185</v>
      </c>
      <c r="B192" s="26">
        <v>70108544</v>
      </c>
      <c r="C192" s="28">
        <v>3111</v>
      </c>
      <c r="D192" s="69">
        <v>2198</v>
      </c>
      <c r="E192" s="26">
        <v>22</v>
      </c>
      <c r="F192" s="26">
        <v>830</v>
      </c>
      <c r="G192" s="26">
        <v>23</v>
      </c>
      <c r="H192" s="175">
        <f t="shared" si="11"/>
        <v>3073</v>
      </c>
      <c r="I192" s="70">
        <v>15.6</v>
      </c>
      <c r="K192" s="172"/>
    </row>
    <row r="193" spans="1:11" ht="12.75">
      <c r="A193" s="19"/>
      <c r="B193" s="19"/>
      <c r="C193" s="29"/>
      <c r="D193" s="37"/>
      <c r="E193" s="19"/>
      <c r="F193" s="19"/>
      <c r="G193" s="19"/>
      <c r="H193" s="32"/>
      <c r="I193" s="71"/>
      <c r="K193" s="172"/>
    </row>
    <row r="194" spans="1:11" ht="12.75">
      <c r="A194" s="19"/>
      <c r="B194" s="19"/>
      <c r="C194" s="29"/>
      <c r="D194" s="37"/>
      <c r="E194" s="19"/>
      <c r="F194" s="19"/>
      <c r="G194" s="19"/>
      <c r="H194" s="32"/>
      <c r="I194" s="71"/>
      <c r="K194" s="172"/>
    </row>
    <row r="195" spans="1:11" ht="13.5" thickBot="1">
      <c r="A195" s="19"/>
      <c r="B195" s="19"/>
      <c r="C195" s="19"/>
      <c r="D195" s="37"/>
      <c r="E195" s="19"/>
      <c r="F195" s="43"/>
      <c r="G195" s="19"/>
      <c r="H195" s="37"/>
      <c r="I195" s="19"/>
      <c r="K195" s="172"/>
    </row>
    <row r="196" spans="1:11" ht="12.75" customHeight="1">
      <c r="A196" s="185" t="s">
        <v>297</v>
      </c>
      <c r="B196" s="187" t="s">
        <v>0</v>
      </c>
      <c r="C196" s="190" t="s">
        <v>17</v>
      </c>
      <c r="D196" s="187" t="s">
        <v>18</v>
      </c>
      <c r="E196" s="187"/>
      <c r="F196" s="187"/>
      <c r="G196" s="187"/>
      <c r="H196" s="187"/>
      <c r="I196" s="189"/>
      <c r="K196" s="172"/>
    </row>
    <row r="197" spans="1:11" ht="26.25" thickBot="1">
      <c r="A197" s="186"/>
      <c r="B197" s="188"/>
      <c r="C197" s="191"/>
      <c r="D197" s="1" t="s">
        <v>2</v>
      </c>
      <c r="E197" s="1" t="s">
        <v>3</v>
      </c>
      <c r="F197" s="1" t="s">
        <v>4</v>
      </c>
      <c r="G197" s="1" t="s">
        <v>5</v>
      </c>
      <c r="H197" s="1" t="s">
        <v>6</v>
      </c>
      <c r="I197" s="2" t="s">
        <v>9</v>
      </c>
      <c r="K197" s="172"/>
    </row>
    <row r="198" spans="1:11" ht="12.75">
      <c r="A198" s="22" t="s">
        <v>186</v>
      </c>
      <c r="B198" s="24">
        <v>65993152</v>
      </c>
      <c r="C198" s="61">
        <v>3111</v>
      </c>
      <c r="D198" s="39">
        <v>2705</v>
      </c>
      <c r="E198" s="24">
        <v>0</v>
      </c>
      <c r="F198" s="24">
        <v>1012</v>
      </c>
      <c r="G198" s="24">
        <v>29</v>
      </c>
      <c r="H198" s="173">
        <f>SUM(D198:G198)</f>
        <v>3746</v>
      </c>
      <c r="I198" s="81">
        <v>18</v>
      </c>
      <c r="K198" s="172"/>
    </row>
    <row r="199" spans="1:11" ht="12.75">
      <c r="A199" s="22" t="s">
        <v>187</v>
      </c>
      <c r="B199" s="24">
        <v>65993161</v>
      </c>
      <c r="C199" s="61">
        <v>3111</v>
      </c>
      <c r="D199" s="39">
        <v>2110</v>
      </c>
      <c r="E199" s="24">
        <v>0</v>
      </c>
      <c r="F199" s="24">
        <v>789</v>
      </c>
      <c r="G199" s="24">
        <v>22</v>
      </c>
      <c r="H199" s="173">
        <f>SUM(D199:G199)</f>
        <v>2921</v>
      </c>
      <c r="I199" s="68">
        <v>13.3</v>
      </c>
      <c r="K199" s="172"/>
    </row>
    <row r="200" spans="1:11" ht="12.75">
      <c r="A200" s="63" t="s">
        <v>188</v>
      </c>
      <c r="B200" s="19"/>
      <c r="C200" s="19"/>
      <c r="D200" s="19"/>
      <c r="E200" s="19"/>
      <c r="F200" s="19"/>
      <c r="G200" s="19"/>
      <c r="H200" s="19"/>
      <c r="I200" s="68"/>
      <c r="K200" s="172"/>
    </row>
    <row r="201" spans="1:11" ht="12.75">
      <c r="A201" s="22" t="s">
        <v>189</v>
      </c>
      <c r="B201" s="24">
        <v>61386448</v>
      </c>
      <c r="C201" s="61">
        <v>3111</v>
      </c>
      <c r="D201" s="39">
        <v>1833</v>
      </c>
      <c r="E201" s="24">
        <v>12</v>
      </c>
      <c r="F201" s="24">
        <v>692</v>
      </c>
      <c r="G201" s="24">
        <v>23</v>
      </c>
      <c r="H201" s="173">
        <f aca="true" t="shared" si="12" ref="H201:H230">SUM(D201:G201)</f>
        <v>2560</v>
      </c>
      <c r="I201" s="68">
        <v>12.4</v>
      </c>
      <c r="K201" s="172"/>
    </row>
    <row r="202" spans="1:11" ht="12.75">
      <c r="A202" s="22" t="s">
        <v>190</v>
      </c>
      <c r="B202" s="24">
        <v>47611669</v>
      </c>
      <c r="C202" s="61">
        <v>3111</v>
      </c>
      <c r="D202" s="39">
        <v>1324</v>
      </c>
      <c r="E202" s="24">
        <v>7</v>
      </c>
      <c r="F202" s="24">
        <v>498</v>
      </c>
      <c r="G202" s="24">
        <v>13</v>
      </c>
      <c r="H202" s="173">
        <f t="shared" si="12"/>
        <v>1842</v>
      </c>
      <c r="I202" s="68">
        <v>8.1</v>
      </c>
      <c r="K202" s="172"/>
    </row>
    <row r="203" spans="1:11" ht="12.75">
      <c r="A203" s="22" t="s">
        <v>191</v>
      </c>
      <c r="B203" s="24">
        <v>61384488</v>
      </c>
      <c r="C203" s="61">
        <v>3111</v>
      </c>
      <c r="D203" s="39">
        <v>2104</v>
      </c>
      <c r="E203" s="24">
        <v>0</v>
      </c>
      <c r="F203" s="24">
        <v>787</v>
      </c>
      <c r="G203" s="24">
        <v>24</v>
      </c>
      <c r="H203" s="173">
        <f t="shared" si="12"/>
        <v>2915</v>
      </c>
      <c r="I203" s="68">
        <v>13.5</v>
      </c>
      <c r="K203" s="172"/>
    </row>
    <row r="204" spans="1:11" ht="12.75">
      <c r="A204" s="22" t="s">
        <v>192</v>
      </c>
      <c r="B204" s="24">
        <v>61384631</v>
      </c>
      <c r="C204" s="61">
        <v>3111</v>
      </c>
      <c r="D204" s="39">
        <v>2090</v>
      </c>
      <c r="E204" s="24">
        <v>0</v>
      </c>
      <c r="F204" s="24">
        <v>782</v>
      </c>
      <c r="G204" s="24">
        <v>23</v>
      </c>
      <c r="H204" s="173">
        <f t="shared" si="12"/>
        <v>2895</v>
      </c>
      <c r="I204" s="68">
        <v>13.5</v>
      </c>
      <c r="K204" s="172"/>
    </row>
    <row r="205" spans="1:11" ht="12.75">
      <c r="A205" s="22" t="s">
        <v>193</v>
      </c>
      <c r="B205" s="24">
        <v>61384259</v>
      </c>
      <c r="C205" s="61">
        <v>3111</v>
      </c>
      <c r="D205" s="24">
        <v>913</v>
      </c>
      <c r="E205" s="24">
        <v>6</v>
      </c>
      <c r="F205" s="24">
        <v>343</v>
      </c>
      <c r="G205" s="24">
        <v>8</v>
      </c>
      <c r="H205" s="173">
        <f t="shared" si="12"/>
        <v>1270</v>
      </c>
      <c r="I205" s="68">
        <v>5.6</v>
      </c>
      <c r="K205" s="172"/>
    </row>
    <row r="206" spans="1:11" ht="12.75">
      <c r="A206" s="22" t="s">
        <v>194</v>
      </c>
      <c r="B206" s="24">
        <v>61384917</v>
      </c>
      <c r="C206" s="61">
        <v>3111</v>
      </c>
      <c r="D206" s="39">
        <v>3187</v>
      </c>
      <c r="E206" s="24">
        <v>22</v>
      </c>
      <c r="F206" s="24">
        <v>1199</v>
      </c>
      <c r="G206" s="24">
        <v>40</v>
      </c>
      <c r="H206" s="173">
        <f t="shared" si="12"/>
        <v>4448</v>
      </c>
      <c r="I206" s="68">
        <v>18.9</v>
      </c>
      <c r="K206" s="172"/>
    </row>
    <row r="207" spans="1:11" ht="12.75">
      <c r="A207" s="22" t="s">
        <v>195</v>
      </c>
      <c r="B207" s="24">
        <v>47611391</v>
      </c>
      <c r="C207" s="61">
        <v>3111</v>
      </c>
      <c r="D207" s="39">
        <v>1533</v>
      </c>
      <c r="E207" s="24">
        <v>6</v>
      </c>
      <c r="F207" s="24">
        <v>575</v>
      </c>
      <c r="G207" s="24">
        <v>14</v>
      </c>
      <c r="H207" s="173">
        <f t="shared" si="12"/>
        <v>2128</v>
      </c>
      <c r="I207" s="68">
        <v>9.5</v>
      </c>
      <c r="K207" s="172"/>
    </row>
    <row r="208" spans="1:11" ht="12.75">
      <c r="A208" s="22" t="s">
        <v>196</v>
      </c>
      <c r="B208" s="24">
        <v>61384241</v>
      </c>
      <c r="C208" s="61">
        <v>3111</v>
      </c>
      <c r="D208" s="39">
        <v>1185</v>
      </c>
      <c r="E208" s="24">
        <v>0</v>
      </c>
      <c r="F208" s="24">
        <v>443</v>
      </c>
      <c r="G208" s="24">
        <v>12</v>
      </c>
      <c r="H208" s="173">
        <f t="shared" si="12"/>
        <v>1640</v>
      </c>
      <c r="I208" s="68">
        <v>8</v>
      </c>
      <c r="K208" s="172"/>
    </row>
    <row r="209" spans="1:11" ht="12.75">
      <c r="A209" s="22" t="s">
        <v>197</v>
      </c>
      <c r="B209" s="24">
        <v>61384453</v>
      </c>
      <c r="C209" s="61">
        <v>3111</v>
      </c>
      <c r="D209" s="39">
        <v>2600</v>
      </c>
      <c r="E209" s="24">
        <v>5</v>
      </c>
      <c r="F209" s="24">
        <v>974</v>
      </c>
      <c r="G209" s="24">
        <v>26</v>
      </c>
      <c r="H209" s="173">
        <f t="shared" si="12"/>
        <v>3605</v>
      </c>
      <c r="I209" s="68">
        <v>17.1</v>
      </c>
      <c r="K209" s="172"/>
    </row>
    <row r="210" spans="1:11" ht="12.75">
      <c r="A210" s="22" t="s">
        <v>198</v>
      </c>
      <c r="B210" s="24">
        <v>61384615</v>
      </c>
      <c r="C210" s="61">
        <v>3111</v>
      </c>
      <c r="D210" s="39">
        <v>1860</v>
      </c>
      <c r="E210" s="24">
        <v>6</v>
      </c>
      <c r="F210" s="24">
        <v>698</v>
      </c>
      <c r="G210" s="24">
        <v>21</v>
      </c>
      <c r="H210" s="173">
        <f t="shared" si="12"/>
        <v>2585</v>
      </c>
      <c r="I210" s="68">
        <v>12.5</v>
      </c>
      <c r="K210" s="172"/>
    </row>
    <row r="211" spans="1:11" ht="12.75">
      <c r="A211" s="22" t="s">
        <v>199</v>
      </c>
      <c r="B211" s="24">
        <v>61385212</v>
      </c>
      <c r="C211" s="61">
        <v>3111</v>
      </c>
      <c r="D211" s="39">
        <v>2061</v>
      </c>
      <c r="E211" s="24">
        <v>6</v>
      </c>
      <c r="F211" s="24">
        <v>773</v>
      </c>
      <c r="G211" s="24">
        <v>22</v>
      </c>
      <c r="H211" s="173">
        <f t="shared" si="12"/>
        <v>2862</v>
      </c>
      <c r="I211" s="68">
        <v>13.7</v>
      </c>
      <c r="K211" s="172"/>
    </row>
    <row r="212" spans="1:11" ht="12.75">
      <c r="A212" s="22" t="s">
        <v>200</v>
      </c>
      <c r="B212" s="24">
        <v>61384445</v>
      </c>
      <c r="C212" s="61">
        <v>3111</v>
      </c>
      <c r="D212" s="39">
        <v>1338</v>
      </c>
      <c r="E212" s="24">
        <v>5</v>
      </c>
      <c r="F212" s="24">
        <v>502</v>
      </c>
      <c r="G212" s="24">
        <v>14</v>
      </c>
      <c r="H212" s="173">
        <f t="shared" si="12"/>
        <v>1859</v>
      </c>
      <c r="I212" s="68">
        <v>9.1</v>
      </c>
      <c r="K212" s="172"/>
    </row>
    <row r="213" spans="1:11" ht="12.75">
      <c r="A213" s="22" t="s">
        <v>201</v>
      </c>
      <c r="B213" s="24">
        <v>61384411</v>
      </c>
      <c r="C213" s="61">
        <v>3111</v>
      </c>
      <c r="D213" s="39">
        <v>1685</v>
      </c>
      <c r="E213" s="24">
        <v>0</v>
      </c>
      <c r="F213" s="24">
        <v>626</v>
      </c>
      <c r="G213" s="24">
        <v>24</v>
      </c>
      <c r="H213" s="173">
        <f t="shared" si="12"/>
        <v>2335</v>
      </c>
      <c r="I213" s="68">
        <v>10.7</v>
      </c>
      <c r="K213" s="172"/>
    </row>
    <row r="214" spans="1:11" ht="12.75">
      <c r="A214" s="22" t="s">
        <v>202</v>
      </c>
      <c r="B214" s="24">
        <v>47611383</v>
      </c>
      <c r="C214" s="61">
        <v>3111</v>
      </c>
      <c r="D214" s="39">
        <v>1571</v>
      </c>
      <c r="E214" s="24">
        <v>0</v>
      </c>
      <c r="F214" s="24">
        <v>588</v>
      </c>
      <c r="G214" s="24">
        <v>13</v>
      </c>
      <c r="H214" s="173">
        <f t="shared" si="12"/>
        <v>2172</v>
      </c>
      <c r="I214" s="68">
        <v>10.7</v>
      </c>
      <c r="K214" s="172"/>
    </row>
    <row r="215" spans="1:11" ht="12.75">
      <c r="A215" s="22" t="s">
        <v>203</v>
      </c>
      <c r="B215" s="24">
        <v>61384836</v>
      </c>
      <c r="C215" s="61">
        <v>3111</v>
      </c>
      <c r="D215" s="39">
        <v>1105</v>
      </c>
      <c r="E215" s="24">
        <v>16</v>
      </c>
      <c r="F215" s="24">
        <v>419</v>
      </c>
      <c r="G215" s="24">
        <v>11</v>
      </c>
      <c r="H215" s="173">
        <f t="shared" si="12"/>
        <v>1551</v>
      </c>
      <c r="I215" s="68">
        <v>7.3</v>
      </c>
      <c r="K215" s="172"/>
    </row>
    <row r="216" spans="1:11" ht="12.75">
      <c r="A216" s="22" t="s">
        <v>204</v>
      </c>
      <c r="B216" s="24">
        <v>61384119</v>
      </c>
      <c r="C216" s="61">
        <v>3111</v>
      </c>
      <c r="D216" s="39">
        <v>1521</v>
      </c>
      <c r="E216" s="24">
        <v>0</v>
      </c>
      <c r="F216" s="24">
        <v>569</v>
      </c>
      <c r="G216" s="24">
        <v>17</v>
      </c>
      <c r="H216" s="173">
        <f t="shared" si="12"/>
        <v>2107</v>
      </c>
      <c r="I216" s="68">
        <v>10.2</v>
      </c>
      <c r="K216" s="172"/>
    </row>
    <row r="217" spans="1:11" ht="12.75">
      <c r="A217" s="22" t="s">
        <v>205</v>
      </c>
      <c r="B217" s="24">
        <v>61385026</v>
      </c>
      <c r="C217" s="61">
        <v>3111</v>
      </c>
      <c r="D217" s="24">
        <v>1060</v>
      </c>
      <c r="E217" s="24">
        <v>0</v>
      </c>
      <c r="F217" s="24">
        <v>396</v>
      </c>
      <c r="G217" s="24">
        <v>12</v>
      </c>
      <c r="H217" s="173">
        <f t="shared" si="12"/>
        <v>1468</v>
      </c>
      <c r="I217" s="68">
        <v>7</v>
      </c>
      <c r="K217" s="172"/>
    </row>
    <row r="218" spans="1:11" ht="12.75">
      <c r="A218" s="22" t="s">
        <v>206</v>
      </c>
      <c r="B218" s="24">
        <v>61384798</v>
      </c>
      <c r="C218" s="61">
        <v>3111</v>
      </c>
      <c r="D218" s="39">
        <v>1662</v>
      </c>
      <c r="E218" s="24">
        <v>6</v>
      </c>
      <c r="F218" s="24">
        <v>624</v>
      </c>
      <c r="G218" s="24">
        <v>24</v>
      </c>
      <c r="H218" s="173">
        <f t="shared" si="12"/>
        <v>2316</v>
      </c>
      <c r="I218" s="68">
        <v>11.6</v>
      </c>
      <c r="K218" s="172"/>
    </row>
    <row r="219" spans="1:11" ht="12.75">
      <c r="A219" s="22" t="s">
        <v>207</v>
      </c>
      <c r="B219" s="24">
        <v>61384402</v>
      </c>
      <c r="C219" s="61">
        <v>3111</v>
      </c>
      <c r="D219" s="39">
        <v>1929</v>
      </c>
      <c r="E219" s="24">
        <v>0</v>
      </c>
      <c r="F219" s="24">
        <v>721</v>
      </c>
      <c r="G219" s="24">
        <v>21</v>
      </c>
      <c r="H219" s="173">
        <f t="shared" si="12"/>
        <v>2671</v>
      </c>
      <c r="I219" s="68">
        <v>12.3</v>
      </c>
      <c r="K219" s="172"/>
    </row>
    <row r="220" spans="1:11" ht="12.75">
      <c r="A220" s="22" t="s">
        <v>208</v>
      </c>
      <c r="B220" s="24">
        <v>61385191</v>
      </c>
      <c r="C220" s="61">
        <v>3111</v>
      </c>
      <c r="D220" s="39">
        <v>2054</v>
      </c>
      <c r="E220" s="24">
        <v>0</v>
      </c>
      <c r="F220" s="24">
        <v>768</v>
      </c>
      <c r="G220" s="24">
        <v>24</v>
      </c>
      <c r="H220" s="173">
        <f t="shared" si="12"/>
        <v>2846</v>
      </c>
      <c r="I220" s="68">
        <v>13.6</v>
      </c>
      <c r="K220" s="172"/>
    </row>
    <row r="221" spans="1:11" ht="12.75">
      <c r="A221" s="22" t="s">
        <v>209</v>
      </c>
      <c r="B221" s="24">
        <v>61384640</v>
      </c>
      <c r="C221" s="61">
        <v>3111</v>
      </c>
      <c r="D221" s="39">
        <v>1908</v>
      </c>
      <c r="E221" s="24">
        <v>0</v>
      </c>
      <c r="F221" s="24">
        <v>713</v>
      </c>
      <c r="G221" s="24">
        <v>22</v>
      </c>
      <c r="H221" s="173">
        <f t="shared" si="12"/>
        <v>2643</v>
      </c>
      <c r="I221" s="68">
        <v>11.6</v>
      </c>
      <c r="K221" s="172"/>
    </row>
    <row r="222" spans="1:11" ht="12.75">
      <c r="A222" s="22" t="s">
        <v>210</v>
      </c>
      <c r="B222" s="24">
        <v>61384429</v>
      </c>
      <c r="C222" s="61">
        <v>3111</v>
      </c>
      <c r="D222" s="39">
        <v>3854</v>
      </c>
      <c r="E222" s="24">
        <v>0</v>
      </c>
      <c r="F222" s="24">
        <v>1441</v>
      </c>
      <c r="G222" s="24">
        <v>39</v>
      </c>
      <c r="H222" s="173">
        <f t="shared" si="12"/>
        <v>5334</v>
      </c>
      <c r="I222" s="68">
        <v>25</v>
      </c>
      <c r="K222" s="172"/>
    </row>
    <row r="223" spans="1:11" ht="12.75">
      <c r="A223" s="22" t="s">
        <v>211</v>
      </c>
      <c r="B223" s="24">
        <v>61384470</v>
      </c>
      <c r="C223" s="61">
        <v>3111</v>
      </c>
      <c r="D223" s="39">
        <v>1772</v>
      </c>
      <c r="E223" s="24">
        <v>0</v>
      </c>
      <c r="F223" s="24">
        <v>663</v>
      </c>
      <c r="G223" s="24">
        <v>18</v>
      </c>
      <c r="H223" s="173">
        <f t="shared" si="12"/>
        <v>2453</v>
      </c>
      <c r="I223" s="68">
        <v>12</v>
      </c>
      <c r="K223" s="172"/>
    </row>
    <row r="224" spans="1:11" ht="12.75">
      <c r="A224" s="22" t="s">
        <v>212</v>
      </c>
      <c r="B224" s="24">
        <v>61384658</v>
      </c>
      <c r="C224" s="61">
        <v>3111</v>
      </c>
      <c r="D224" s="39">
        <v>1896</v>
      </c>
      <c r="E224" s="24">
        <v>0</v>
      </c>
      <c r="F224" s="24">
        <v>709</v>
      </c>
      <c r="G224" s="24">
        <v>23</v>
      </c>
      <c r="H224" s="173">
        <f t="shared" si="12"/>
        <v>2628</v>
      </c>
      <c r="I224" s="68">
        <v>12.7</v>
      </c>
      <c r="K224" s="172"/>
    </row>
    <row r="225" spans="1:11" ht="12.75">
      <c r="A225" s="22" t="s">
        <v>213</v>
      </c>
      <c r="B225" s="24">
        <v>61384526</v>
      </c>
      <c r="C225" s="61">
        <v>3111</v>
      </c>
      <c r="D225" s="39">
        <v>2019</v>
      </c>
      <c r="E225" s="24">
        <v>0</v>
      </c>
      <c r="F225" s="24">
        <v>755</v>
      </c>
      <c r="G225" s="24">
        <v>22</v>
      </c>
      <c r="H225" s="173">
        <f t="shared" si="12"/>
        <v>2796</v>
      </c>
      <c r="I225" s="68">
        <v>13.8</v>
      </c>
      <c r="K225" s="172"/>
    </row>
    <row r="226" spans="1:11" ht="12.75">
      <c r="A226" s="22" t="s">
        <v>214</v>
      </c>
      <c r="B226" s="24">
        <v>47611375</v>
      </c>
      <c r="C226" s="61">
        <v>3111</v>
      </c>
      <c r="D226" s="39">
        <v>2175</v>
      </c>
      <c r="E226" s="24">
        <v>0</v>
      </c>
      <c r="F226" s="24">
        <v>813</v>
      </c>
      <c r="G226" s="24">
        <v>25</v>
      </c>
      <c r="H226" s="173">
        <f t="shared" si="12"/>
        <v>3013</v>
      </c>
      <c r="I226" s="68">
        <v>14.5</v>
      </c>
      <c r="K226" s="172"/>
    </row>
    <row r="227" spans="1:11" ht="12.75">
      <c r="A227" s="22" t="s">
        <v>215</v>
      </c>
      <c r="B227" s="24">
        <v>61384771</v>
      </c>
      <c r="C227" s="61">
        <v>3111</v>
      </c>
      <c r="D227" s="39">
        <v>2561</v>
      </c>
      <c r="E227" s="24">
        <v>9</v>
      </c>
      <c r="F227" s="24">
        <v>958</v>
      </c>
      <c r="G227" s="24">
        <v>27</v>
      </c>
      <c r="H227" s="173">
        <f t="shared" si="12"/>
        <v>3555</v>
      </c>
      <c r="I227" s="68">
        <v>16.9</v>
      </c>
      <c r="K227" s="172"/>
    </row>
    <row r="228" spans="1:11" ht="12.75">
      <c r="A228" s="22" t="s">
        <v>216</v>
      </c>
      <c r="B228" s="24">
        <v>60461888</v>
      </c>
      <c r="C228" s="61">
        <v>3111</v>
      </c>
      <c r="D228" s="39">
        <v>1404</v>
      </c>
      <c r="E228" s="24">
        <v>0</v>
      </c>
      <c r="F228" s="24">
        <v>525</v>
      </c>
      <c r="G228" s="24">
        <v>16</v>
      </c>
      <c r="H228" s="173">
        <f t="shared" si="12"/>
        <v>1945</v>
      </c>
      <c r="I228" s="68">
        <v>9.5</v>
      </c>
      <c r="K228" s="172"/>
    </row>
    <row r="229" spans="1:11" ht="12.75">
      <c r="A229" s="22" t="s">
        <v>217</v>
      </c>
      <c r="B229" s="24">
        <v>61384011</v>
      </c>
      <c r="C229" s="61">
        <v>3111</v>
      </c>
      <c r="D229" s="39">
        <v>1137</v>
      </c>
      <c r="E229" s="24">
        <v>0</v>
      </c>
      <c r="F229" s="24">
        <v>425</v>
      </c>
      <c r="G229" s="24">
        <v>10</v>
      </c>
      <c r="H229" s="173">
        <f t="shared" si="12"/>
        <v>1572</v>
      </c>
      <c r="I229" s="68">
        <v>7.2</v>
      </c>
      <c r="K229" s="172"/>
    </row>
    <row r="230" spans="1:11" ht="13.5" thickBot="1">
      <c r="A230" s="25" t="s">
        <v>218</v>
      </c>
      <c r="B230" s="26">
        <v>61384666</v>
      </c>
      <c r="C230" s="10">
        <v>3111</v>
      </c>
      <c r="D230" s="69">
        <v>1645</v>
      </c>
      <c r="E230" s="26">
        <v>6</v>
      </c>
      <c r="F230" s="26">
        <v>617</v>
      </c>
      <c r="G230" s="26">
        <v>18</v>
      </c>
      <c r="H230" s="175">
        <f t="shared" si="12"/>
        <v>2286</v>
      </c>
      <c r="I230" s="70">
        <v>10.4</v>
      </c>
      <c r="K230" s="172"/>
    </row>
    <row r="231" spans="1:11" ht="12.75">
      <c r="A231" s="19"/>
      <c r="B231" s="19"/>
      <c r="C231" s="19"/>
      <c r="D231" s="37"/>
      <c r="E231" s="19"/>
      <c r="F231" s="43"/>
      <c r="G231" s="19"/>
      <c r="H231" s="37"/>
      <c r="I231" s="19"/>
      <c r="K231" s="172"/>
    </row>
    <row r="232" spans="1:11" ht="12.75">
      <c r="A232" s="19"/>
      <c r="B232" s="19"/>
      <c r="C232" s="19"/>
      <c r="D232" s="37"/>
      <c r="E232" s="19"/>
      <c r="F232" s="43"/>
      <c r="G232" s="19"/>
      <c r="H232" s="37"/>
      <c r="I232" s="19"/>
      <c r="K232" s="172"/>
    </row>
    <row r="233" spans="1:11" ht="12.75">
      <c r="A233" s="19"/>
      <c r="B233" s="19"/>
      <c r="C233" s="19"/>
      <c r="D233" s="37"/>
      <c r="E233" s="19"/>
      <c r="F233" s="43"/>
      <c r="G233" s="19"/>
      <c r="H233" s="37"/>
      <c r="I233" s="19"/>
      <c r="K233" s="172"/>
    </row>
    <row r="234" spans="1:11" ht="13.5" thickBot="1">
      <c r="A234" s="19"/>
      <c r="B234" s="19"/>
      <c r="C234" s="19"/>
      <c r="D234" s="37"/>
      <c r="E234" s="19"/>
      <c r="F234" s="43"/>
      <c r="G234" s="19"/>
      <c r="H234" s="37"/>
      <c r="I234" s="19"/>
      <c r="K234" s="172"/>
    </row>
    <row r="235" spans="1:11" ht="12.75" customHeight="1">
      <c r="A235" s="185" t="s">
        <v>297</v>
      </c>
      <c r="B235" s="187" t="s">
        <v>0</v>
      </c>
      <c r="C235" s="190" t="s">
        <v>17</v>
      </c>
      <c r="D235" s="187" t="s">
        <v>18</v>
      </c>
      <c r="E235" s="187"/>
      <c r="F235" s="187"/>
      <c r="G235" s="187"/>
      <c r="H235" s="187"/>
      <c r="I235" s="189"/>
      <c r="K235" s="172"/>
    </row>
    <row r="236" spans="1:11" ht="26.25" thickBot="1">
      <c r="A236" s="186"/>
      <c r="B236" s="188"/>
      <c r="C236" s="191"/>
      <c r="D236" s="1" t="s">
        <v>2</v>
      </c>
      <c r="E236" s="1" t="s">
        <v>3</v>
      </c>
      <c r="F236" s="1" t="s">
        <v>4</v>
      </c>
      <c r="G236" s="1" t="s">
        <v>5</v>
      </c>
      <c r="H236" s="1" t="s">
        <v>6</v>
      </c>
      <c r="I236" s="2" t="s">
        <v>9</v>
      </c>
      <c r="K236" s="172"/>
    </row>
    <row r="237" spans="1:11" ht="12.75">
      <c r="A237" s="3" t="s">
        <v>219</v>
      </c>
      <c r="B237" s="23">
        <v>61385204</v>
      </c>
      <c r="C237" s="61">
        <v>3111</v>
      </c>
      <c r="D237" s="52">
        <v>1514</v>
      </c>
      <c r="E237" s="23">
        <v>0</v>
      </c>
      <c r="F237" s="23">
        <v>566</v>
      </c>
      <c r="G237" s="23">
        <v>17</v>
      </c>
      <c r="H237" s="173">
        <f>SUM(D237:G237)</f>
        <v>2097</v>
      </c>
      <c r="I237" s="81">
        <v>9.7</v>
      </c>
      <c r="K237" s="172"/>
    </row>
    <row r="238" spans="1:11" ht="12.75">
      <c r="A238" s="102" t="s">
        <v>220</v>
      </c>
      <c r="B238" s="103">
        <v>70992193</v>
      </c>
      <c r="C238" s="61">
        <v>3111</v>
      </c>
      <c r="D238" s="85">
        <v>1842</v>
      </c>
      <c r="E238" s="104">
        <v>0</v>
      </c>
      <c r="F238" s="104">
        <v>689</v>
      </c>
      <c r="G238" s="104">
        <v>21</v>
      </c>
      <c r="H238" s="176">
        <f>SUM(D238:G238)</f>
        <v>2552</v>
      </c>
      <c r="I238" s="68">
        <v>12</v>
      </c>
      <c r="K238" s="172"/>
    </row>
    <row r="239" spans="1:11" ht="12.75">
      <c r="A239" s="105" t="s">
        <v>221</v>
      </c>
      <c r="B239" s="106"/>
      <c r="C239" s="107"/>
      <c r="D239" s="108"/>
      <c r="E239" s="108"/>
      <c r="F239" s="108"/>
      <c r="G239" s="108"/>
      <c r="H239" s="108"/>
      <c r="I239" s="68"/>
      <c r="K239" s="172"/>
    </row>
    <row r="240" spans="1:11" ht="12.75">
      <c r="A240" s="22" t="s">
        <v>222</v>
      </c>
      <c r="B240" s="24">
        <v>70924180</v>
      </c>
      <c r="C240" s="6">
        <v>3111</v>
      </c>
      <c r="D240" s="52">
        <v>1131</v>
      </c>
      <c r="E240" s="23">
        <v>10</v>
      </c>
      <c r="F240" s="23">
        <v>427</v>
      </c>
      <c r="G240" s="23">
        <v>10</v>
      </c>
      <c r="H240" s="38">
        <f aca="true" t="shared" si="13" ref="H240:H263">SUM(D240:G240)</f>
        <v>1578</v>
      </c>
      <c r="I240" s="68">
        <v>7.5</v>
      </c>
      <c r="K240" s="172"/>
    </row>
    <row r="241" spans="1:11" ht="12.75">
      <c r="A241" s="22" t="s">
        <v>223</v>
      </c>
      <c r="B241" s="24">
        <v>70924198</v>
      </c>
      <c r="C241" s="61">
        <v>3111</v>
      </c>
      <c r="D241" s="39">
        <v>2145</v>
      </c>
      <c r="E241" s="24">
        <v>8</v>
      </c>
      <c r="F241" s="24">
        <v>786</v>
      </c>
      <c r="G241" s="24">
        <v>18</v>
      </c>
      <c r="H241" s="173">
        <f t="shared" si="13"/>
        <v>2957</v>
      </c>
      <c r="I241" s="68">
        <v>14.1</v>
      </c>
      <c r="K241" s="172"/>
    </row>
    <row r="242" spans="1:11" ht="12.75">
      <c r="A242" s="22" t="s">
        <v>224</v>
      </c>
      <c r="B242" s="24">
        <v>70924155</v>
      </c>
      <c r="C242" s="61">
        <v>3111</v>
      </c>
      <c r="D242" s="39">
        <v>2101</v>
      </c>
      <c r="E242" s="24">
        <v>6</v>
      </c>
      <c r="F242" s="24">
        <v>788</v>
      </c>
      <c r="G242" s="24">
        <v>22</v>
      </c>
      <c r="H242" s="173">
        <f t="shared" si="13"/>
        <v>2917</v>
      </c>
      <c r="I242" s="68">
        <v>14</v>
      </c>
      <c r="K242" s="172"/>
    </row>
    <row r="243" spans="1:11" ht="12.75">
      <c r="A243" s="22" t="s">
        <v>225</v>
      </c>
      <c r="B243" s="24">
        <v>48132489</v>
      </c>
      <c r="C243" s="61">
        <v>3111</v>
      </c>
      <c r="D243" s="39">
        <v>1448</v>
      </c>
      <c r="E243" s="24">
        <v>8</v>
      </c>
      <c r="F243" s="24">
        <v>544</v>
      </c>
      <c r="G243" s="24">
        <v>14</v>
      </c>
      <c r="H243" s="173">
        <f t="shared" si="13"/>
        <v>2014</v>
      </c>
      <c r="I243" s="68">
        <v>9.8</v>
      </c>
      <c r="K243" s="172"/>
    </row>
    <row r="244" spans="1:11" ht="12.75">
      <c r="A244" s="22" t="s">
        <v>226</v>
      </c>
      <c r="B244" s="24">
        <v>70924210</v>
      </c>
      <c r="C244" s="61">
        <v>3111</v>
      </c>
      <c r="D244" s="39">
        <v>3001</v>
      </c>
      <c r="E244" s="24">
        <v>6</v>
      </c>
      <c r="F244" s="24">
        <v>1124</v>
      </c>
      <c r="G244" s="24">
        <v>30</v>
      </c>
      <c r="H244" s="173">
        <f t="shared" si="13"/>
        <v>4161</v>
      </c>
      <c r="I244" s="68">
        <v>19.9</v>
      </c>
      <c r="K244" s="172"/>
    </row>
    <row r="245" spans="1:11" ht="12.75">
      <c r="A245" s="22" t="s">
        <v>227</v>
      </c>
      <c r="B245" s="24">
        <v>70924228</v>
      </c>
      <c r="C245" s="61">
        <v>3111</v>
      </c>
      <c r="D245" s="39">
        <v>2378</v>
      </c>
      <c r="E245" s="24">
        <v>24</v>
      </c>
      <c r="F245" s="24">
        <v>897</v>
      </c>
      <c r="G245" s="24">
        <v>22</v>
      </c>
      <c r="H245" s="173">
        <f t="shared" si="13"/>
        <v>3321</v>
      </c>
      <c r="I245" s="68">
        <v>16.3</v>
      </c>
      <c r="K245" s="172"/>
    </row>
    <row r="246" spans="1:11" ht="12.75">
      <c r="A246" s="22" t="s">
        <v>228</v>
      </c>
      <c r="B246" s="24">
        <v>67774342</v>
      </c>
      <c r="C246" s="61">
        <v>3111</v>
      </c>
      <c r="D246" s="39">
        <v>2368</v>
      </c>
      <c r="E246" s="24">
        <v>0</v>
      </c>
      <c r="F246" s="24">
        <v>886</v>
      </c>
      <c r="G246" s="24">
        <v>26</v>
      </c>
      <c r="H246" s="173">
        <f t="shared" si="13"/>
        <v>3280</v>
      </c>
      <c r="I246" s="68">
        <v>15.9</v>
      </c>
      <c r="K246" s="172"/>
    </row>
    <row r="247" spans="1:11" ht="12.75">
      <c r="A247" s="22" t="s">
        <v>229</v>
      </c>
      <c r="B247" s="24">
        <v>70924147</v>
      </c>
      <c r="C247" s="61">
        <v>3111</v>
      </c>
      <c r="D247" s="39">
        <v>2742</v>
      </c>
      <c r="E247" s="24">
        <v>39</v>
      </c>
      <c r="F247" s="24">
        <v>1039</v>
      </c>
      <c r="G247" s="24">
        <v>25</v>
      </c>
      <c r="H247" s="173">
        <f t="shared" si="13"/>
        <v>3845</v>
      </c>
      <c r="I247" s="68">
        <v>18.8</v>
      </c>
      <c r="K247" s="172"/>
    </row>
    <row r="248" spans="1:11" ht="12.75">
      <c r="A248" s="22" t="s">
        <v>230</v>
      </c>
      <c r="B248" s="24">
        <v>67774351</v>
      </c>
      <c r="C248" s="61">
        <v>3111</v>
      </c>
      <c r="D248" s="39">
        <v>1416</v>
      </c>
      <c r="E248" s="24">
        <v>6</v>
      </c>
      <c r="F248" s="24">
        <v>532</v>
      </c>
      <c r="G248" s="24">
        <v>13</v>
      </c>
      <c r="H248" s="173">
        <f t="shared" si="13"/>
        <v>1967</v>
      </c>
      <c r="I248" s="68">
        <v>9.8</v>
      </c>
      <c r="K248" s="172"/>
    </row>
    <row r="249" spans="1:11" ht="12.75">
      <c r="A249" s="3" t="s">
        <v>231</v>
      </c>
      <c r="B249" s="23">
        <v>70924244</v>
      </c>
      <c r="C249" s="61">
        <v>3111</v>
      </c>
      <c r="D249" s="52">
        <v>1860</v>
      </c>
      <c r="E249" s="23">
        <v>0</v>
      </c>
      <c r="F249" s="23">
        <v>696</v>
      </c>
      <c r="G249" s="23">
        <v>20</v>
      </c>
      <c r="H249" s="173">
        <f t="shared" si="13"/>
        <v>2576</v>
      </c>
      <c r="I249" s="68">
        <v>12.5</v>
      </c>
      <c r="K249" s="172"/>
    </row>
    <row r="250" spans="1:11" ht="12.75">
      <c r="A250" s="22" t="s">
        <v>232</v>
      </c>
      <c r="B250" s="24">
        <v>70924252</v>
      </c>
      <c r="C250" s="61">
        <v>3111</v>
      </c>
      <c r="D250" s="39">
        <v>1695</v>
      </c>
      <c r="E250" s="24">
        <v>0</v>
      </c>
      <c r="F250" s="24">
        <v>634</v>
      </c>
      <c r="G250" s="24">
        <v>17</v>
      </c>
      <c r="H250" s="173">
        <f t="shared" si="13"/>
        <v>2346</v>
      </c>
      <c r="I250" s="68">
        <v>11.5</v>
      </c>
      <c r="K250" s="172"/>
    </row>
    <row r="251" spans="1:11" ht="12.75">
      <c r="A251" s="22" t="s">
        <v>233</v>
      </c>
      <c r="B251" s="24">
        <v>70924261</v>
      </c>
      <c r="C251" s="61">
        <v>3111</v>
      </c>
      <c r="D251" s="39">
        <v>1934</v>
      </c>
      <c r="E251" s="24">
        <v>0</v>
      </c>
      <c r="F251" s="24">
        <v>723</v>
      </c>
      <c r="G251" s="24">
        <v>21</v>
      </c>
      <c r="H251" s="173">
        <f t="shared" si="13"/>
        <v>2678</v>
      </c>
      <c r="I251" s="68">
        <v>13.8</v>
      </c>
      <c r="K251" s="172"/>
    </row>
    <row r="252" spans="1:11" ht="12.75">
      <c r="A252" s="22" t="s">
        <v>234</v>
      </c>
      <c r="B252" s="24">
        <v>70924163</v>
      </c>
      <c r="C252" s="61">
        <v>3111</v>
      </c>
      <c r="D252" s="39">
        <v>1650</v>
      </c>
      <c r="E252" s="24">
        <v>0</v>
      </c>
      <c r="F252" s="24">
        <v>617</v>
      </c>
      <c r="G252" s="24">
        <v>17</v>
      </c>
      <c r="H252" s="173">
        <f t="shared" si="13"/>
        <v>2284</v>
      </c>
      <c r="I252" s="68">
        <v>11.2</v>
      </c>
      <c r="K252" s="172"/>
    </row>
    <row r="253" spans="1:11" ht="12.75">
      <c r="A253" s="22" t="s">
        <v>235</v>
      </c>
      <c r="B253" s="24">
        <v>67774679</v>
      </c>
      <c r="C253" s="61">
        <v>3111</v>
      </c>
      <c r="D253" s="39">
        <v>1406</v>
      </c>
      <c r="E253" s="24">
        <v>0</v>
      </c>
      <c r="F253" s="24">
        <v>526</v>
      </c>
      <c r="G253" s="24">
        <v>14</v>
      </c>
      <c r="H253" s="173">
        <f t="shared" si="13"/>
        <v>1946</v>
      </c>
      <c r="I253" s="68">
        <v>10.1</v>
      </c>
      <c r="K253" s="172"/>
    </row>
    <row r="254" spans="1:11" ht="12.75">
      <c r="A254" s="22" t="s">
        <v>236</v>
      </c>
      <c r="B254" s="24">
        <v>70924279</v>
      </c>
      <c r="C254" s="61">
        <v>3111</v>
      </c>
      <c r="D254" s="39">
        <v>1173</v>
      </c>
      <c r="E254" s="24">
        <v>30</v>
      </c>
      <c r="F254" s="24">
        <v>450</v>
      </c>
      <c r="G254" s="24">
        <v>10</v>
      </c>
      <c r="H254" s="173">
        <f t="shared" si="13"/>
        <v>1663</v>
      </c>
      <c r="I254" s="68">
        <v>7.7</v>
      </c>
      <c r="K254" s="172"/>
    </row>
    <row r="255" spans="1:11" ht="12.75">
      <c r="A255" s="22" t="s">
        <v>237</v>
      </c>
      <c r="B255" s="24">
        <v>70924287</v>
      </c>
      <c r="C255" s="61">
        <v>3111</v>
      </c>
      <c r="D255" s="39">
        <v>1855</v>
      </c>
      <c r="E255" s="24">
        <v>2</v>
      </c>
      <c r="F255" s="24">
        <v>695</v>
      </c>
      <c r="G255" s="24">
        <v>20</v>
      </c>
      <c r="H255" s="173">
        <f t="shared" si="13"/>
        <v>2572</v>
      </c>
      <c r="I255" s="68">
        <v>12.5</v>
      </c>
      <c r="K255" s="172"/>
    </row>
    <row r="256" spans="1:11" ht="12.75">
      <c r="A256" s="22" t="s">
        <v>238</v>
      </c>
      <c r="B256" s="24">
        <v>70924295</v>
      </c>
      <c r="C256" s="61">
        <v>3111</v>
      </c>
      <c r="D256" s="39">
        <v>1493</v>
      </c>
      <c r="E256" s="24">
        <v>26</v>
      </c>
      <c r="F256" s="24">
        <v>567</v>
      </c>
      <c r="G256" s="24">
        <v>16</v>
      </c>
      <c r="H256" s="173">
        <f t="shared" si="13"/>
        <v>2102</v>
      </c>
      <c r="I256" s="68">
        <v>10.4</v>
      </c>
      <c r="K256" s="172"/>
    </row>
    <row r="257" spans="1:11" ht="12.75">
      <c r="A257" s="22" t="s">
        <v>239</v>
      </c>
      <c r="B257" s="24">
        <v>70924309</v>
      </c>
      <c r="C257" s="61">
        <v>3111</v>
      </c>
      <c r="D257" s="39">
        <v>1918</v>
      </c>
      <c r="E257" s="24">
        <v>20</v>
      </c>
      <c r="F257" s="24">
        <v>724</v>
      </c>
      <c r="G257" s="24">
        <v>21</v>
      </c>
      <c r="H257" s="173">
        <f t="shared" si="13"/>
        <v>2683</v>
      </c>
      <c r="I257" s="68">
        <v>13</v>
      </c>
      <c r="K257" s="172"/>
    </row>
    <row r="258" spans="1:11" ht="12.75">
      <c r="A258" s="22" t="s">
        <v>240</v>
      </c>
      <c r="B258" s="24">
        <v>70924317</v>
      </c>
      <c r="C258" s="61">
        <v>3111</v>
      </c>
      <c r="D258" s="39">
        <v>1896</v>
      </c>
      <c r="E258" s="24">
        <v>0</v>
      </c>
      <c r="F258" s="24">
        <v>709</v>
      </c>
      <c r="G258" s="24">
        <v>20</v>
      </c>
      <c r="H258" s="173">
        <f t="shared" si="13"/>
        <v>2625</v>
      </c>
      <c r="I258" s="68">
        <v>12.9</v>
      </c>
      <c r="K258" s="172"/>
    </row>
    <row r="259" spans="1:11" ht="12.75">
      <c r="A259" s="22" t="s">
        <v>241</v>
      </c>
      <c r="B259" s="24">
        <v>70924325</v>
      </c>
      <c r="C259" s="61">
        <v>3111</v>
      </c>
      <c r="D259" s="39">
        <v>1270</v>
      </c>
      <c r="E259" s="24">
        <v>8</v>
      </c>
      <c r="F259" s="24">
        <v>478</v>
      </c>
      <c r="G259" s="24">
        <v>11</v>
      </c>
      <c r="H259" s="173">
        <f t="shared" si="13"/>
        <v>1767</v>
      </c>
      <c r="I259" s="68">
        <v>7.9</v>
      </c>
      <c r="K259" s="172"/>
    </row>
    <row r="260" spans="1:11" ht="12.75">
      <c r="A260" s="22" t="s">
        <v>242</v>
      </c>
      <c r="B260" s="24">
        <v>70924333</v>
      </c>
      <c r="C260" s="61">
        <v>3111</v>
      </c>
      <c r="D260" s="39">
        <v>1838</v>
      </c>
      <c r="E260" s="24">
        <v>6</v>
      </c>
      <c r="F260" s="24">
        <v>697</v>
      </c>
      <c r="G260" s="24">
        <v>20</v>
      </c>
      <c r="H260" s="173">
        <f t="shared" si="13"/>
        <v>2561</v>
      </c>
      <c r="I260" s="68">
        <v>12.4</v>
      </c>
      <c r="K260" s="172"/>
    </row>
    <row r="261" spans="1:11" ht="12.75">
      <c r="A261" s="22" t="s">
        <v>243</v>
      </c>
      <c r="B261" s="24">
        <v>70924341</v>
      </c>
      <c r="C261" s="61">
        <v>3111</v>
      </c>
      <c r="D261" s="39">
        <v>1750</v>
      </c>
      <c r="E261" s="24">
        <v>6</v>
      </c>
      <c r="F261" s="24">
        <v>657</v>
      </c>
      <c r="G261" s="24">
        <v>17</v>
      </c>
      <c r="H261" s="173">
        <f t="shared" si="13"/>
        <v>2430</v>
      </c>
      <c r="I261" s="68">
        <v>11.9</v>
      </c>
      <c r="K261" s="172"/>
    </row>
    <row r="262" spans="1:11" ht="12.75">
      <c r="A262" s="22" t="s">
        <v>244</v>
      </c>
      <c r="B262" s="24">
        <v>47611740</v>
      </c>
      <c r="C262" s="61">
        <v>3111</v>
      </c>
      <c r="D262" s="39">
        <v>2045</v>
      </c>
      <c r="E262" s="24">
        <v>6</v>
      </c>
      <c r="F262" s="24">
        <v>766</v>
      </c>
      <c r="G262" s="24">
        <v>22</v>
      </c>
      <c r="H262" s="173">
        <f t="shared" si="13"/>
        <v>2839</v>
      </c>
      <c r="I262" s="68">
        <v>13.9</v>
      </c>
      <c r="K262" s="172"/>
    </row>
    <row r="263" spans="1:11" ht="12.75">
      <c r="A263" s="22" t="s">
        <v>245</v>
      </c>
      <c r="B263" s="24">
        <v>70924350</v>
      </c>
      <c r="C263" s="61">
        <v>3111</v>
      </c>
      <c r="D263" s="42">
        <v>2105</v>
      </c>
      <c r="E263" s="41">
        <v>0</v>
      </c>
      <c r="F263" s="41">
        <v>787</v>
      </c>
      <c r="G263" s="41">
        <v>22</v>
      </c>
      <c r="H263" s="174">
        <f t="shared" si="13"/>
        <v>2914</v>
      </c>
      <c r="I263" s="68">
        <v>14.1</v>
      </c>
      <c r="K263" s="172"/>
    </row>
    <row r="264" spans="1:11" ht="12.75">
      <c r="A264" s="22" t="s">
        <v>246</v>
      </c>
      <c r="B264" s="40"/>
      <c r="C264" s="61">
        <v>3111</v>
      </c>
      <c r="D264" s="75"/>
      <c r="E264" s="48"/>
      <c r="F264" s="48"/>
      <c r="G264" s="48"/>
      <c r="H264" s="75"/>
      <c r="I264" s="68"/>
      <c r="K264" s="172"/>
    </row>
    <row r="265" spans="1:11" ht="12.75">
      <c r="A265" s="22" t="s">
        <v>247</v>
      </c>
      <c r="B265" s="24">
        <v>47611588</v>
      </c>
      <c r="C265" s="61">
        <v>3111</v>
      </c>
      <c r="D265" s="52">
        <v>4007</v>
      </c>
      <c r="E265" s="23">
        <v>0</v>
      </c>
      <c r="F265" s="23">
        <v>1499</v>
      </c>
      <c r="G265" s="23">
        <v>49</v>
      </c>
      <c r="H265" s="38">
        <f>SUM(D265:G265)</f>
        <v>5555</v>
      </c>
      <c r="I265" s="68">
        <v>28.4</v>
      </c>
      <c r="K265" s="172"/>
    </row>
    <row r="266" spans="1:11" ht="12.75">
      <c r="A266" s="22" t="s">
        <v>248</v>
      </c>
      <c r="B266" s="24">
        <v>64936350</v>
      </c>
      <c r="C266" s="61">
        <v>3111</v>
      </c>
      <c r="D266" s="39">
        <v>1524</v>
      </c>
      <c r="E266" s="24">
        <v>0</v>
      </c>
      <c r="F266" s="24">
        <v>570</v>
      </c>
      <c r="G266" s="24">
        <v>17</v>
      </c>
      <c r="H266" s="173">
        <f>SUM(D266:G266)</f>
        <v>2111</v>
      </c>
      <c r="I266" s="68">
        <v>10.2</v>
      </c>
      <c r="K266" s="172"/>
    </row>
    <row r="267" spans="1:11" ht="12.75">
      <c r="A267" s="22" t="s">
        <v>249</v>
      </c>
      <c r="B267" s="24">
        <v>64936368</v>
      </c>
      <c r="C267" s="61">
        <v>3111</v>
      </c>
      <c r="D267" s="39">
        <v>3005</v>
      </c>
      <c r="E267" s="24">
        <v>6</v>
      </c>
      <c r="F267" s="24">
        <v>1126</v>
      </c>
      <c r="G267" s="24">
        <v>33</v>
      </c>
      <c r="H267" s="173">
        <f>SUM(D267:G267)</f>
        <v>4170</v>
      </c>
      <c r="I267" s="68">
        <v>20</v>
      </c>
      <c r="K267" s="172"/>
    </row>
    <row r="268" spans="1:11" ht="12.75">
      <c r="A268" s="22" t="s">
        <v>250</v>
      </c>
      <c r="B268" s="24">
        <v>60447869</v>
      </c>
      <c r="C268" s="61">
        <v>3111</v>
      </c>
      <c r="D268" s="39">
        <v>3681</v>
      </c>
      <c r="E268" s="24">
        <v>0</v>
      </c>
      <c r="F268" s="24">
        <v>1377</v>
      </c>
      <c r="G268" s="24">
        <v>43</v>
      </c>
      <c r="H268" s="173">
        <f>SUM(D268:G268)</f>
        <v>5101</v>
      </c>
      <c r="I268" s="68">
        <v>25.3</v>
      </c>
      <c r="K268" s="172"/>
    </row>
    <row r="269" spans="1:11" ht="13.5" thickBot="1">
      <c r="A269" s="25" t="s">
        <v>251</v>
      </c>
      <c r="B269" s="26">
        <v>63833352</v>
      </c>
      <c r="C269" s="28">
        <v>3111</v>
      </c>
      <c r="D269" s="69">
        <v>1919</v>
      </c>
      <c r="E269" s="26">
        <v>0</v>
      </c>
      <c r="F269" s="26">
        <v>718</v>
      </c>
      <c r="G269" s="26">
        <v>20</v>
      </c>
      <c r="H269" s="175">
        <f>SUM(D269:G269)</f>
        <v>2657</v>
      </c>
      <c r="I269" s="70">
        <v>12.4</v>
      </c>
      <c r="K269" s="172"/>
    </row>
    <row r="270" spans="1:11" ht="12.75">
      <c r="A270" s="19"/>
      <c r="B270" s="19"/>
      <c r="C270" s="29"/>
      <c r="D270" s="37"/>
      <c r="E270" s="19"/>
      <c r="F270" s="19"/>
      <c r="G270" s="19"/>
      <c r="H270" s="32"/>
      <c r="I270" s="71"/>
      <c r="K270" s="172"/>
    </row>
    <row r="271" spans="1:11" ht="12.75">
      <c r="A271" s="19"/>
      <c r="B271" s="19"/>
      <c r="C271" s="29"/>
      <c r="D271" s="37"/>
      <c r="E271" s="19"/>
      <c r="F271" s="19"/>
      <c r="G271" s="19"/>
      <c r="H271" s="32"/>
      <c r="I271" s="71"/>
      <c r="K271" s="172"/>
    </row>
    <row r="272" spans="1:11" ht="12.75">
      <c r="A272" s="19"/>
      <c r="B272" s="19"/>
      <c r="C272" s="29"/>
      <c r="D272" s="37"/>
      <c r="E272" s="19"/>
      <c r="F272" s="19"/>
      <c r="G272" s="19"/>
      <c r="H272" s="32"/>
      <c r="I272" s="71"/>
      <c r="K272" s="172"/>
    </row>
    <row r="273" spans="1:11" ht="13.5" thickBot="1">
      <c r="A273" s="19"/>
      <c r="B273" s="19"/>
      <c r="C273" s="29"/>
      <c r="D273" s="37"/>
      <c r="E273" s="19"/>
      <c r="F273" s="19"/>
      <c r="G273" s="19"/>
      <c r="H273" s="32"/>
      <c r="I273" s="71"/>
      <c r="K273" s="172"/>
    </row>
    <row r="274" spans="1:11" ht="12.75" customHeight="1">
      <c r="A274" s="185" t="s">
        <v>297</v>
      </c>
      <c r="B274" s="187" t="s">
        <v>0</v>
      </c>
      <c r="C274" s="190" t="s">
        <v>17</v>
      </c>
      <c r="D274" s="187" t="s">
        <v>18</v>
      </c>
      <c r="E274" s="187"/>
      <c r="F274" s="187"/>
      <c r="G274" s="187"/>
      <c r="H274" s="187"/>
      <c r="I274" s="189"/>
      <c r="K274" s="172"/>
    </row>
    <row r="275" spans="1:11" ht="26.25" thickBot="1">
      <c r="A275" s="186"/>
      <c r="B275" s="188"/>
      <c r="C275" s="191"/>
      <c r="D275" s="1" t="s">
        <v>2</v>
      </c>
      <c r="E275" s="1" t="s">
        <v>3</v>
      </c>
      <c r="F275" s="1" t="s">
        <v>4</v>
      </c>
      <c r="G275" s="1" t="s">
        <v>5</v>
      </c>
      <c r="H275" s="1" t="s">
        <v>6</v>
      </c>
      <c r="I275" s="2" t="s">
        <v>9</v>
      </c>
      <c r="K275" s="172"/>
    </row>
    <row r="276" spans="1:11" ht="12.75">
      <c r="A276" s="3" t="s">
        <v>252</v>
      </c>
      <c r="B276" s="23">
        <v>47611570</v>
      </c>
      <c r="C276" s="61">
        <v>3111</v>
      </c>
      <c r="D276" s="52">
        <v>1968</v>
      </c>
      <c r="E276" s="23">
        <v>0</v>
      </c>
      <c r="F276" s="23">
        <v>736</v>
      </c>
      <c r="G276" s="23">
        <v>26</v>
      </c>
      <c r="H276" s="38">
        <f aca="true" t="shared" si="14" ref="H276:H286">SUM(D276:G276)</f>
        <v>2730</v>
      </c>
      <c r="I276" s="81">
        <v>12.9</v>
      </c>
      <c r="K276" s="172"/>
    </row>
    <row r="277" spans="1:11" ht="12.75">
      <c r="A277" s="22" t="s">
        <v>253</v>
      </c>
      <c r="B277" s="24">
        <v>65993373</v>
      </c>
      <c r="C277" s="61">
        <v>3111</v>
      </c>
      <c r="D277" s="39">
        <v>1710</v>
      </c>
      <c r="E277" s="24">
        <v>25</v>
      </c>
      <c r="F277" s="24">
        <v>649</v>
      </c>
      <c r="G277" s="24">
        <v>27</v>
      </c>
      <c r="H277" s="173">
        <f t="shared" si="14"/>
        <v>2411</v>
      </c>
      <c r="I277" s="68">
        <v>10.9</v>
      </c>
      <c r="K277" s="172"/>
    </row>
    <row r="278" spans="1:11" ht="12.75">
      <c r="A278" s="110" t="s">
        <v>254</v>
      </c>
      <c r="B278" s="24">
        <v>70102058</v>
      </c>
      <c r="C278" s="61">
        <v>3111</v>
      </c>
      <c r="D278" s="39">
        <v>2143</v>
      </c>
      <c r="E278" s="24">
        <v>0</v>
      </c>
      <c r="F278" s="24">
        <v>801</v>
      </c>
      <c r="G278" s="24">
        <v>27</v>
      </c>
      <c r="H278" s="173">
        <f t="shared" si="14"/>
        <v>2971</v>
      </c>
      <c r="I278" s="68">
        <v>13</v>
      </c>
      <c r="K278" s="172"/>
    </row>
    <row r="279" spans="1:11" ht="12.75">
      <c r="A279" s="22" t="s">
        <v>255</v>
      </c>
      <c r="B279" s="24">
        <v>63833387</v>
      </c>
      <c r="C279" s="61">
        <v>3111</v>
      </c>
      <c r="D279" s="39">
        <v>3123</v>
      </c>
      <c r="E279" s="24">
        <v>0</v>
      </c>
      <c r="F279" s="24">
        <v>1168</v>
      </c>
      <c r="G279" s="24">
        <v>35</v>
      </c>
      <c r="H279" s="173">
        <f t="shared" si="14"/>
        <v>4326</v>
      </c>
      <c r="I279" s="68">
        <v>21</v>
      </c>
      <c r="K279" s="172"/>
    </row>
    <row r="280" spans="1:11" ht="12.75">
      <c r="A280" s="22" t="s">
        <v>256</v>
      </c>
      <c r="B280" s="24">
        <v>63833344</v>
      </c>
      <c r="C280" s="61">
        <v>3111</v>
      </c>
      <c r="D280" s="39">
        <v>1928</v>
      </c>
      <c r="E280" s="24">
        <v>0</v>
      </c>
      <c r="F280" s="24">
        <v>721</v>
      </c>
      <c r="G280" s="24">
        <v>24</v>
      </c>
      <c r="H280" s="173">
        <f t="shared" si="14"/>
        <v>2673</v>
      </c>
      <c r="I280" s="68">
        <v>12.2</v>
      </c>
      <c r="K280" s="172"/>
    </row>
    <row r="281" spans="1:11" ht="12.75">
      <c r="A281" s="22" t="s">
        <v>257</v>
      </c>
      <c r="B281" s="24">
        <v>63108259</v>
      </c>
      <c r="C281" s="61">
        <v>3111</v>
      </c>
      <c r="D281" s="39">
        <v>1974</v>
      </c>
      <c r="E281" s="24">
        <v>0</v>
      </c>
      <c r="F281" s="24">
        <v>738</v>
      </c>
      <c r="G281" s="24">
        <v>24</v>
      </c>
      <c r="H281" s="173">
        <f t="shared" si="14"/>
        <v>2736</v>
      </c>
      <c r="I281" s="68">
        <v>14.2</v>
      </c>
      <c r="K281" s="172"/>
    </row>
    <row r="282" spans="1:11" ht="12.75">
      <c r="A282" s="22" t="s">
        <v>258</v>
      </c>
      <c r="B282" s="24">
        <v>63108232</v>
      </c>
      <c r="C282" s="61">
        <v>3111</v>
      </c>
      <c r="D282" s="39">
        <v>1157</v>
      </c>
      <c r="E282" s="24">
        <v>65</v>
      </c>
      <c r="F282" s="24">
        <v>456</v>
      </c>
      <c r="G282" s="24">
        <v>11</v>
      </c>
      <c r="H282" s="173">
        <f t="shared" si="14"/>
        <v>1689</v>
      </c>
      <c r="I282" s="68">
        <v>7</v>
      </c>
      <c r="K282" s="172"/>
    </row>
    <row r="283" spans="1:11" ht="12.75">
      <c r="A283" s="22" t="s">
        <v>259</v>
      </c>
      <c r="B283" s="24">
        <v>47611600</v>
      </c>
      <c r="C283" s="61">
        <v>3111</v>
      </c>
      <c r="D283" s="39">
        <v>2317</v>
      </c>
      <c r="E283" s="24">
        <v>0</v>
      </c>
      <c r="F283" s="24">
        <v>866</v>
      </c>
      <c r="G283" s="24">
        <v>42</v>
      </c>
      <c r="H283" s="173">
        <f t="shared" si="14"/>
        <v>3225</v>
      </c>
      <c r="I283" s="68">
        <v>14.8</v>
      </c>
      <c r="K283" s="172"/>
    </row>
    <row r="284" spans="1:11" ht="12.75">
      <c r="A284" s="3" t="s">
        <v>260</v>
      </c>
      <c r="B284" s="23">
        <v>47611596</v>
      </c>
      <c r="C284" s="61">
        <v>3111</v>
      </c>
      <c r="D284" s="52">
        <v>3087</v>
      </c>
      <c r="E284" s="23">
        <v>0</v>
      </c>
      <c r="F284" s="23">
        <v>1155</v>
      </c>
      <c r="G284" s="23">
        <v>35</v>
      </c>
      <c r="H284" s="173">
        <f t="shared" si="14"/>
        <v>4277</v>
      </c>
      <c r="I284" s="68">
        <v>20.4</v>
      </c>
      <c r="K284" s="172"/>
    </row>
    <row r="285" spans="1:11" ht="12.75">
      <c r="A285" s="22" t="s">
        <v>261</v>
      </c>
      <c r="B285" s="24">
        <v>63833361</v>
      </c>
      <c r="C285" s="61">
        <v>3111</v>
      </c>
      <c r="D285" s="39">
        <v>1984</v>
      </c>
      <c r="E285" s="24">
        <v>0</v>
      </c>
      <c r="F285" s="24">
        <v>742</v>
      </c>
      <c r="G285" s="24">
        <v>25</v>
      </c>
      <c r="H285" s="173">
        <f t="shared" si="14"/>
        <v>2751</v>
      </c>
      <c r="I285" s="68">
        <v>12.6</v>
      </c>
      <c r="K285" s="172"/>
    </row>
    <row r="286" spans="1:11" ht="12.75">
      <c r="A286" s="22" t="s">
        <v>262</v>
      </c>
      <c r="B286" s="24">
        <v>70991502</v>
      </c>
      <c r="C286" s="61">
        <v>3111</v>
      </c>
      <c r="D286" s="42">
        <v>1195</v>
      </c>
      <c r="E286" s="41">
        <v>0</v>
      </c>
      <c r="F286" s="41">
        <v>447</v>
      </c>
      <c r="G286" s="41">
        <v>12</v>
      </c>
      <c r="H286" s="174">
        <f t="shared" si="14"/>
        <v>1654</v>
      </c>
      <c r="I286" s="68">
        <v>8.4</v>
      </c>
      <c r="K286" s="172"/>
    </row>
    <row r="287" spans="1:11" ht="12.75">
      <c r="A287" s="74" t="s">
        <v>263</v>
      </c>
      <c r="B287" s="40"/>
      <c r="C287" s="48"/>
      <c r="D287" s="75"/>
      <c r="E287" s="48"/>
      <c r="F287" s="48"/>
      <c r="G287" s="48"/>
      <c r="H287" s="75"/>
      <c r="I287" s="68"/>
      <c r="K287" s="172"/>
    </row>
    <row r="288" spans="1:11" ht="12.75">
      <c r="A288" s="22" t="s">
        <v>264</v>
      </c>
      <c r="B288" s="24">
        <v>48135542</v>
      </c>
      <c r="C288" s="61">
        <v>3111</v>
      </c>
      <c r="D288" s="52">
        <v>1156</v>
      </c>
      <c r="E288" s="23">
        <v>5</v>
      </c>
      <c r="F288" s="23">
        <v>434</v>
      </c>
      <c r="G288" s="23">
        <v>13</v>
      </c>
      <c r="H288" s="38">
        <f aca="true" t="shared" si="15" ref="H288:H305">SUM(D288:G288)</f>
        <v>1608</v>
      </c>
      <c r="I288" s="68">
        <v>7.7</v>
      </c>
      <c r="K288" s="172"/>
    </row>
    <row r="289" spans="1:11" ht="12.75">
      <c r="A289" s="22" t="s">
        <v>265</v>
      </c>
      <c r="B289" s="24">
        <v>63832267</v>
      </c>
      <c r="C289" s="61">
        <v>3111</v>
      </c>
      <c r="D289" s="39">
        <v>1528</v>
      </c>
      <c r="E289" s="24">
        <v>11</v>
      </c>
      <c r="F289" s="24">
        <v>575</v>
      </c>
      <c r="G289" s="24">
        <v>16</v>
      </c>
      <c r="H289" s="173">
        <f t="shared" si="15"/>
        <v>2130</v>
      </c>
      <c r="I289" s="68">
        <v>9.9</v>
      </c>
      <c r="K289" s="172"/>
    </row>
    <row r="290" spans="1:11" ht="12.75">
      <c r="A290" s="22" t="s">
        <v>266</v>
      </c>
      <c r="B290" s="24">
        <v>70922080</v>
      </c>
      <c r="C290" s="61">
        <v>3111</v>
      </c>
      <c r="D290" s="24">
        <v>725</v>
      </c>
      <c r="E290" s="24">
        <v>6</v>
      </c>
      <c r="F290" s="24">
        <v>270</v>
      </c>
      <c r="G290" s="24">
        <v>5</v>
      </c>
      <c r="H290" s="173">
        <f t="shared" si="15"/>
        <v>1006</v>
      </c>
      <c r="I290" s="68">
        <v>4.6</v>
      </c>
      <c r="K290" s="172"/>
    </row>
    <row r="291" spans="1:11" ht="12.75">
      <c r="A291" s="22" t="s">
        <v>267</v>
      </c>
      <c r="B291" s="24">
        <v>63109701</v>
      </c>
      <c r="C291" s="61">
        <v>3111</v>
      </c>
      <c r="D291" s="39">
        <v>2042</v>
      </c>
      <c r="E291" s="24">
        <v>8</v>
      </c>
      <c r="F291" s="24">
        <v>767</v>
      </c>
      <c r="G291" s="24">
        <v>23</v>
      </c>
      <c r="H291" s="173">
        <f t="shared" si="15"/>
        <v>2840</v>
      </c>
      <c r="I291" s="68">
        <v>13.3</v>
      </c>
      <c r="K291" s="172"/>
    </row>
    <row r="292" spans="1:11" ht="12.75">
      <c r="A292" s="22" t="s">
        <v>268</v>
      </c>
      <c r="B292" s="24">
        <v>63832291</v>
      </c>
      <c r="C292" s="61">
        <v>3111</v>
      </c>
      <c r="D292" s="39">
        <v>1623</v>
      </c>
      <c r="E292" s="24">
        <v>0</v>
      </c>
      <c r="F292" s="24">
        <v>607</v>
      </c>
      <c r="G292" s="24">
        <v>17</v>
      </c>
      <c r="H292" s="173">
        <f t="shared" si="15"/>
        <v>2247</v>
      </c>
      <c r="I292" s="68">
        <v>10.7</v>
      </c>
      <c r="K292" s="172"/>
    </row>
    <row r="293" spans="1:11" ht="12.75">
      <c r="A293" s="22" t="s">
        <v>269</v>
      </c>
      <c r="B293" s="24">
        <v>63109735</v>
      </c>
      <c r="C293" s="61">
        <v>3111</v>
      </c>
      <c r="D293" s="39">
        <v>1084</v>
      </c>
      <c r="E293" s="24">
        <v>11</v>
      </c>
      <c r="F293" s="24">
        <v>409</v>
      </c>
      <c r="G293" s="24">
        <v>12</v>
      </c>
      <c r="H293" s="173">
        <f t="shared" si="15"/>
        <v>1516</v>
      </c>
      <c r="I293" s="68">
        <v>7</v>
      </c>
      <c r="K293" s="172"/>
    </row>
    <row r="294" spans="1:11" ht="12.75">
      <c r="A294" s="22" t="s">
        <v>270</v>
      </c>
      <c r="B294" s="24">
        <v>63109719</v>
      </c>
      <c r="C294" s="61">
        <v>3111</v>
      </c>
      <c r="D294" s="39">
        <v>1689</v>
      </c>
      <c r="E294" s="24">
        <v>18</v>
      </c>
      <c r="F294" s="24">
        <v>637</v>
      </c>
      <c r="G294" s="24">
        <v>19</v>
      </c>
      <c r="H294" s="173">
        <f t="shared" si="15"/>
        <v>2363</v>
      </c>
      <c r="I294" s="68">
        <v>11</v>
      </c>
      <c r="K294" s="172"/>
    </row>
    <row r="295" spans="1:11" ht="12.75">
      <c r="A295" s="22" t="s">
        <v>271</v>
      </c>
      <c r="B295" s="24">
        <v>63832241</v>
      </c>
      <c r="C295" s="61">
        <v>3111</v>
      </c>
      <c r="D295" s="24">
        <v>865</v>
      </c>
      <c r="E295" s="24">
        <v>6</v>
      </c>
      <c r="F295" s="24">
        <v>326</v>
      </c>
      <c r="G295" s="24">
        <v>9</v>
      </c>
      <c r="H295" s="173">
        <f t="shared" si="15"/>
        <v>1206</v>
      </c>
      <c r="I295" s="68">
        <v>6</v>
      </c>
      <c r="K295" s="172"/>
    </row>
    <row r="296" spans="1:11" ht="12.75">
      <c r="A296" s="22" t="s">
        <v>272</v>
      </c>
      <c r="B296" s="24">
        <v>63832305</v>
      </c>
      <c r="C296" s="61">
        <v>3111</v>
      </c>
      <c r="D296" s="39">
        <v>1640</v>
      </c>
      <c r="E296" s="24">
        <v>0</v>
      </c>
      <c r="F296" s="24">
        <v>613</v>
      </c>
      <c r="G296" s="24">
        <v>16</v>
      </c>
      <c r="H296" s="173">
        <f t="shared" si="15"/>
        <v>2269</v>
      </c>
      <c r="I296" s="68">
        <v>11</v>
      </c>
      <c r="K296" s="172"/>
    </row>
    <row r="297" spans="1:11" ht="12.75">
      <c r="A297" s="22" t="s">
        <v>273</v>
      </c>
      <c r="B297" s="24">
        <v>63832313</v>
      </c>
      <c r="C297" s="61">
        <v>3111</v>
      </c>
      <c r="D297" s="39">
        <v>1547</v>
      </c>
      <c r="E297" s="24">
        <v>0</v>
      </c>
      <c r="F297" s="24">
        <v>579</v>
      </c>
      <c r="G297" s="24">
        <v>18</v>
      </c>
      <c r="H297" s="173">
        <f t="shared" si="15"/>
        <v>2144</v>
      </c>
      <c r="I297" s="68">
        <v>10.5</v>
      </c>
      <c r="K297" s="172"/>
    </row>
    <row r="298" spans="1:11" ht="12.75">
      <c r="A298" s="22" t="s">
        <v>274</v>
      </c>
      <c r="B298" s="24">
        <v>63832275</v>
      </c>
      <c r="C298" s="61">
        <v>3111</v>
      </c>
      <c r="D298" s="39">
        <v>1663</v>
      </c>
      <c r="E298" s="24">
        <v>0</v>
      </c>
      <c r="F298" s="24">
        <v>622</v>
      </c>
      <c r="G298" s="24">
        <v>21</v>
      </c>
      <c r="H298" s="173">
        <f t="shared" si="15"/>
        <v>2306</v>
      </c>
      <c r="I298" s="68">
        <v>11.2</v>
      </c>
      <c r="K298" s="172"/>
    </row>
    <row r="299" spans="1:11" ht="12.75">
      <c r="A299" s="22" t="s">
        <v>275</v>
      </c>
      <c r="B299" s="24">
        <v>63832330</v>
      </c>
      <c r="C299" s="61">
        <v>3111</v>
      </c>
      <c r="D299" s="39">
        <v>1900</v>
      </c>
      <c r="E299" s="24">
        <v>10</v>
      </c>
      <c r="F299" s="24">
        <v>715</v>
      </c>
      <c r="G299" s="24">
        <v>22</v>
      </c>
      <c r="H299" s="173">
        <f t="shared" si="15"/>
        <v>2647</v>
      </c>
      <c r="I299" s="68">
        <v>12.5</v>
      </c>
      <c r="K299" s="172"/>
    </row>
    <row r="300" spans="1:11" ht="12.75">
      <c r="A300" s="22" t="s">
        <v>567</v>
      </c>
      <c r="B300" s="24">
        <v>63832259</v>
      </c>
      <c r="C300" s="61">
        <v>3111</v>
      </c>
      <c r="D300" s="39">
        <v>1492</v>
      </c>
      <c r="E300" s="24">
        <v>0</v>
      </c>
      <c r="F300" s="24">
        <v>558</v>
      </c>
      <c r="G300" s="24">
        <v>17</v>
      </c>
      <c r="H300" s="173">
        <f t="shared" si="15"/>
        <v>2067</v>
      </c>
      <c r="I300" s="68">
        <v>10.2</v>
      </c>
      <c r="K300" s="172"/>
    </row>
    <row r="301" spans="1:11" ht="12.75">
      <c r="A301" s="3" t="s">
        <v>276</v>
      </c>
      <c r="B301" s="23">
        <v>63109727</v>
      </c>
      <c r="C301" s="61">
        <v>3111</v>
      </c>
      <c r="D301" s="39">
        <v>2023</v>
      </c>
      <c r="E301" s="24">
        <v>14</v>
      </c>
      <c r="F301" s="24">
        <v>762</v>
      </c>
      <c r="G301" s="24">
        <v>23</v>
      </c>
      <c r="H301" s="7">
        <f t="shared" si="15"/>
        <v>2822</v>
      </c>
      <c r="I301" s="68">
        <v>14.6</v>
      </c>
      <c r="K301" s="172"/>
    </row>
    <row r="302" spans="1:11" ht="12.75">
      <c r="A302" s="22" t="s">
        <v>277</v>
      </c>
      <c r="B302" s="24">
        <v>49624628</v>
      </c>
      <c r="C302" s="61">
        <v>3111</v>
      </c>
      <c r="D302" s="52">
        <v>1159</v>
      </c>
      <c r="E302" s="23">
        <v>0</v>
      </c>
      <c r="F302" s="23">
        <v>433</v>
      </c>
      <c r="G302" s="23">
        <v>19</v>
      </c>
      <c r="H302" s="38">
        <f t="shared" si="15"/>
        <v>1611</v>
      </c>
      <c r="I302" s="68">
        <v>7.7</v>
      </c>
      <c r="K302" s="172"/>
    </row>
    <row r="303" spans="1:11" ht="12.75">
      <c r="A303" s="22" t="s">
        <v>278</v>
      </c>
      <c r="B303" s="24">
        <v>60437961</v>
      </c>
      <c r="C303" s="61">
        <v>3111</v>
      </c>
      <c r="D303" s="24">
        <v>1061</v>
      </c>
      <c r="E303" s="24">
        <v>14</v>
      </c>
      <c r="F303" s="24">
        <v>402</v>
      </c>
      <c r="G303" s="24">
        <v>12</v>
      </c>
      <c r="H303" s="173">
        <f t="shared" si="15"/>
        <v>1489</v>
      </c>
      <c r="I303" s="68">
        <v>6.9</v>
      </c>
      <c r="K303" s="172"/>
    </row>
    <row r="304" spans="1:11" ht="12.75">
      <c r="A304" s="22" t="s">
        <v>279</v>
      </c>
      <c r="B304" s="24">
        <v>60437928</v>
      </c>
      <c r="C304" s="61">
        <v>3111</v>
      </c>
      <c r="D304" s="39">
        <v>1116</v>
      </c>
      <c r="E304" s="24">
        <v>5</v>
      </c>
      <c r="F304" s="24">
        <v>417</v>
      </c>
      <c r="G304" s="24">
        <v>13</v>
      </c>
      <c r="H304" s="173">
        <f t="shared" si="15"/>
        <v>1551</v>
      </c>
      <c r="I304" s="68">
        <v>7.2</v>
      </c>
      <c r="K304" s="172"/>
    </row>
    <row r="305" spans="1:11" ht="12.75">
      <c r="A305" s="22" t="s">
        <v>280</v>
      </c>
      <c r="B305" s="24">
        <v>60437944</v>
      </c>
      <c r="C305" s="61">
        <v>3111</v>
      </c>
      <c r="D305" s="42">
        <v>1271</v>
      </c>
      <c r="E305" s="41">
        <v>18</v>
      </c>
      <c r="F305" s="41">
        <v>481</v>
      </c>
      <c r="G305" s="41">
        <v>12</v>
      </c>
      <c r="H305" s="174">
        <f t="shared" si="15"/>
        <v>1782</v>
      </c>
      <c r="I305" s="68">
        <v>8.5</v>
      </c>
      <c r="K305" s="172"/>
    </row>
    <row r="306" spans="1:11" ht="12.75">
      <c r="A306" s="22" t="s">
        <v>281</v>
      </c>
      <c r="B306" s="40"/>
      <c r="C306" s="48"/>
      <c r="D306" s="75"/>
      <c r="E306" s="48"/>
      <c r="F306" s="48"/>
      <c r="G306" s="48"/>
      <c r="H306" s="75"/>
      <c r="I306" s="68"/>
      <c r="K306" s="172"/>
    </row>
    <row r="307" spans="1:11" ht="12.75">
      <c r="A307" s="22" t="s">
        <v>282</v>
      </c>
      <c r="B307" s="24">
        <v>47610140</v>
      </c>
      <c r="C307" s="6">
        <v>3111</v>
      </c>
      <c r="D307" s="52">
        <v>1412</v>
      </c>
      <c r="E307" s="23">
        <v>0</v>
      </c>
      <c r="F307" s="23">
        <v>528</v>
      </c>
      <c r="G307" s="23">
        <v>14</v>
      </c>
      <c r="H307" s="38">
        <f>SUM(D307:G307)</f>
        <v>1954</v>
      </c>
      <c r="I307" s="68">
        <v>9.2</v>
      </c>
      <c r="K307" s="172"/>
    </row>
    <row r="308" spans="1:11" ht="12.75">
      <c r="A308" s="22" t="s">
        <v>283</v>
      </c>
      <c r="B308" s="24">
        <v>62930591</v>
      </c>
      <c r="C308" s="61">
        <v>3111</v>
      </c>
      <c r="D308" s="39">
        <v>2526</v>
      </c>
      <c r="E308" s="24">
        <v>6</v>
      </c>
      <c r="F308" s="24">
        <v>947</v>
      </c>
      <c r="G308" s="24">
        <v>26</v>
      </c>
      <c r="H308" s="173">
        <f>SUM(D308:G308)</f>
        <v>3505</v>
      </c>
      <c r="I308" s="68">
        <v>17</v>
      </c>
      <c r="K308" s="172"/>
    </row>
    <row r="309" spans="1:11" ht="12.75">
      <c r="A309" s="22" t="s">
        <v>284</v>
      </c>
      <c r="B309" s="24">
        <v>48132365</v>
      </c>
      <c r="C309" s="61">
        <v>3111</v>
      </c>
      <c r="D309" s="39">
        <v>1766</v>
      </c>
      <c r="E309" s="24">
        <v>0</v>
      </c>
      <c r="F309" s="24">
        <v>660</v>
      </c>
      <c r="G309" s="24">
        <v>16</v>
      </c>
      <c r="H309" s="173">
        <f>SUM(D309:G309)</f>
        <v>2442</v>
      </c>
      <c r="I309" s="68">
        <v>11.7</v>
      </c>
      <c r="K309" s="172"/>
    </row>
    <row r="310" spans="1:11" ht="13.5" thickBot="1">
      <c r="A310" s="25" t="s">
        <v>285</v>
      </c>
      <c r="B310" s="26">
        <v>63831571</v>
      </c>
      <c r="C310" s="28">
        <v>3111</v>
      </c>
      <c r="D310" s="69">
        <v>2777</v>
      </c>
      <c r="E310" s="26">
        <v>10</v>
      </c>
      <c r="F310" s="26">
        <v>1043</v>
      </c>
      <c r="G310" s="26">
        <v>25</v>
      </c>
      <c r="H310" s="175">
        <f>SUM(D310:G310)</f>
        <v>3855</v>
      </c>
      <c r="I310" s="70">
        <v>17.6</v>
      </c>
      <c r="K310" s="172"/>
    </row>
    <row r="311" spans="1:11" ht="12.75">
      <c r="A311" s="19"/>
      <c r="B311" s="19"/>
      <c r="C311" s="29"/>
      <c r="D311" s="37"/>
      <c r="E311" s="19"/>
      <c r="F311" s="19"/>
      <c r="G311" s="19"/>
      <c r="H311" s="32"/>
      <c r="I311" s="71"/>
      <c r="K311" s="172"/>
    </row>
    <row r="312" spans="1:11" ht="13.5" thickBot="1">
      <c r="A312" s="19"/>
      <c r="B312" s="19"/>
      <c r="C312" s="29"/>
      <c r="D312" s="37"/>
      <c r="E312" s="19"/>
      <c r="F312" s="19"/>
      <c r="G312" s="19"/>
      <c r="H312" s="32"/>
      <c r="I312" s="71"/>
      <c r="K312" s="172"/>
    </row>
    <row r="313" spans="1:11" ht="12.75" customHeight="1">
      <c r="A313" s="185" t="s">
        <v>297</v>
      </c>
      <c r="B313" s="187" t="s">
        <v>0</v>
      </c>
      <c r="C313" s="212" t="s">
        <v>17</v>
      </c>
      <c r="D313" s="187" t="s">
        <v>18</v>
      </c>
      <c r="E313" s="187"/>
      <c r="F313" s="187"/>
      <c r="G313" s="187"/>
      <c r="H313" s="187"/>
      <c r="I313" s="189"/>
      <c r="K313" s="172"/>
    </row>
    <row r="314" spans="1:11" ht="26.25" thickBot="1">
      <c r="A314" s="186"/>
      <c r="B314" s="188"/>
      <c r="C314" s="213"/>
      <c r="D314" s="1" t="s">
        <v>2</v>
      </c>
      <c r="E314" s="1" t="s">
        <v>3</v>
      </c>
      <c r="F314" s="1" t="s">
        <v>4</v>
      </c>
      <c r="G314" s="1" t="s">
        <v>5</v>
      </c>
      <c r="H314" s="1" t="s">
        <v>6</v>
      </c>
      <c r="I314" s="2" t="s">
        <v>9</v>
      </c>
      <c r="K314" s="172"/>
    </row>
    <row r="315" spans="1:11" ht="12.75">
      <c r="A315" s="3" t="s">
        <v>286</v>
      </c>
      <c r="B315" s="23">
        <v>63831538</v>
      </c>
      <c r="C315" s="61">
        <v>3111</v>
      </c>
      <c r="D315" s="52">
        <v>2130</v>
      </c>
      <c r="E315" s="23">
        <v>0</v>
      </c>
      <c r="F315" s="23">
        <v>797</v>
      </c>
      <c r="G315" s="23">
        <v>23</v>
      </c>
      <c r="H315" s="173">
        <f aca="true" t="shared" si="16" ref="H315:H321">SUM(D315:G315)</f>
        <v>2950</v>
      </c>
      <c r="I315" s="81">
        <v>14</v>
      </c>
      <c r="K315" s="172"/>
    </row>
    <row r="316" spans="1:11" ht="12.75">
      <c r="A316" s="22" t="s">
        <v>287</v>
      </c>
      <c r="B316" s="24">
        <v>47610182</v>
      </c>
      <c r="C316" s="61">
        <v>3111</v>
      </c>
      <c r="D316" s="39">
        <v>2029</v>
      </c>
      <c r="E316" s="24">
        <v>6</v>
      </c>
      <c r="F316" s="24">
        <v>761</v>
      </c>
      <c r="G316" s="24">
        <v>21</v>
      </c>
      <c r="H316" s="173">
        <f t="shared" si="16"/>
        <v>2817</v>
      </c>
      <c r="I316" s="68">
        <v>14.3</v>
      </c>
      <c r="K316" s="172"/>
    </row>
    <row r="317" spans="1:11" ht="12.75">
      <c r="A317" s="22" t="s">
        <v>288</v>
      </c>
      <c r="B317" s="24">
        <v>63831520</v>
      </c>
      <c r="C317" s="61">
        <v>3111</v>
      </c>
      <c r="D317" s="39">
        <v>2022</v>
      </c>
      <c r="E317" s="24">
        <v>0</v>
      </c>
      <c r="F317" s="24">
        <v>756</v>
      </c>
      <c r="G317" s="24">
        <v>21</v>
      </c>
      <c r="H317" s="173">
        <f t="shared" si="16"/>
        <v>2799</v>
      </c>
      <c r="I317" s="68">
        <v>13.5</v>
      </c>
      <c r="K317" s="172"/>
    </row>
    <row r="318" spans="1:11" ht="12.75">
      <c r="A318" s="22" t="s">
        <v>289</v>
      </c>
      <c r="B318" s="24">
        <v>70828237</v>
      </c>
      <c r="C318" s="61">
        <v>3111</v>
      </c>
      <c r="D318" s="39">
        <v>1052</v>
      </c>
      <c r="E318" s="39">
        <v>0</v>
      </c>
      <c r="F318" s="39">
        <v>393</v>
      </c>
      <c r="G318" s="39">
        <v>140</v>
      </c>
      <c r="H318" s="173">
        <f t="shared" si="16"/>
        <v>1585</v>
      </c>
      <c r="I318" s="68">
        <v>6.7</v>
      </c>
      <c r="K318" s="172"/>
    </row>
    <row r="319" spans="1:11" ht="12.75">
      <c r="A319" s="22" t="s">
        <v>290</v>
      </c>
      <c r="B319" s="24">
        <v>70926271</v>
      </c>
      <c r="C319" s="61">
        <v>3111</v>
      </c>
      <c r="D319" s="39">
        <v>1287</v>
      </c>
      <c r="E319" s="24">
        <v>0</v>
      </c>
      <c r="F319" s="24">
        <v>481</v>
      </c>
      <c r="G319" s="24">
        <v>12</v>
      </c>
      <c r="H319" s="173">
        <f t="shared" si="16"/>
        <v>1780</v>
      </c>
      <c r="I319" s="68">
        <v>8.4</v>
      </c>
      <c r="K319" s="172"/>
    </row>
    <row r="320" spans="1:11" ht="12.75">
      <c r="A320" s="22" t="s">
        <v>291</v>
      </c>
      <c r="B320" s="24">
        <v>70886202</v>
      </c>
      <c r="C320" s="61">
        <v>3111</v>
      </c>
      <c r="D320" s="39">
        <v>1669</v>
      </c>
      <c r="E320" s="24">
        <v>24</v>
      </c>
      <c r="F320" s="24">
        <v>632</v>
      </c>
      <c r="G320" s="24">
        <v>16</v>
      </c>
      <c r="H320" s="173">
        <f t="shared" si="16"/>
        <v>2341</v>
      </c>
      <c r="I320" s="68">
        <v>11.7</v>
      </c>
      <c r="K320" s="172"/>
    </row>
    <row r="321" spans="1:11" ht="12.75">
      <c r="A321" s="22" t="s">
        <v>292</v>
      </c>
      <c r="B321" s="24">
        <v>70100012</v>
      </c>
      <c r="C321" s="61">
        <v>3111</v>
      </c>
      <c r="D321" s="42">
        <v>2027</v>
      </c>
      <c r="E321" s="41">
        <v>0</v>
      </c>
      <c r="F321" s="41">
        <v>759</v>
      </c>
      <c r="G321" s="41">
        <v>22</v>
      </c>
      <c r="H321" s="174">
        <f t="shared" si="16"/>
        <v>2808</v>
      </c>
      <c r="I321" s="68">
        <v>13.6</v>
      </c>
      <c r="K321" s="172"/>
    </row>
    <row r="322" spans="1:11" ht="12.75">
      <c r="A322" s="86" t="s">
        <v>293</v>
      </c>
      <c r="B322" s="87"/>
      <c r="C322" s="107"/>
      <c r="D322" s="108"/>
      <c r="E322" s="108"/>
      <c r="F322" s="108"/>
      <c r="G322" s="108"/>
      <c r="H322" s="108"/>
      <c r="I322" s="68"/>
      <c r="K322" s="172"/>
    </row>
    <row r="323" spans="1:11" ht="12.75">
      <c r="A323" s="22" t="s">
        <v>294</v>
      </c>
      <c r="B323" s="24">
        <v>70925526</v>
      </c>
      <c r="C323" s="61">
        <v>3111</v>
      </c>
      <c r="D323" s="52">
        <v>1384</v>
      </c>
      <c r="E323" s="23">
        <v>0</v>
      </c>
      <c r="F323" s="23">
        <v>518</v>
      </c>
      <c r="G323" s="23">
        <v>13</v>
      </c>
      <c r="H323" s="38">
        <f>SUM(D323:G323)</f>
        <v>1915</v>
      </c>
      <c r="I323" s="68">
        <v>9.2</v>
      </c>
      <c r="K323" s="172"/>
    </row>
    <row r="324" spans="1:11" ht="13.5" thickBot="1">
      <c r="A324" s="25" t="s">
        <v>295</v>
      </c>
      <c r="B324" s="26">
        <v>45248273</v>
      </c>
      <c r="C324" s="28">
        <v>3111</v>
      </c>
      <c r="D324" s="69">
        <v>1890</v>
      </c>
      <c r="E324" s="26">
        <v>6</v>
      </c>
      <c r="F324" s="26">
        <v>709</v>
      </c>
      <c r="G324" s="26">
        <v>20</v>
      </c>
      <c r="H324" s="175">
        <f>SUM(D324:G324)</f>
        <v>2625</v>
      </c>
      <c r="I324" s="70">
        <v>11.5</v>
      </c>
      <c r="K324" s="172"/>
    </row>
    <row r="325" spans="1:11" ht="13.5" thickBot="1">
      <c r="A325" s="115"/>
      <c r="B325" s="116"/>
      <c r="C325" s="116"/>
      <c r="D325" s="111">
        <f aca="true" t="shared" si="17" ref="D325:I325">SUM(D9:D324)</f>
        <v>517182</v>
      </c>
      <c r="E325" s="111">
        <f t="shared" si="17"/>
        <v>1753</v>
      </c>
      <c r="F325" s="111">
        <f t="shared" si="17"/>
        <v>194085</v>
      </c>
      <c r="G325" s="111">
        <f t="shared" si="17"/>
        <v>5720</v>
      </c>
      <c r="H325" s="111">
        <f t="shared" si="17"/>
        <v>718740</v>
      </c>
      <c r="I325" s="112">
        <f t="shared" si="17"/>
        <v>3463.599999999999</v>
      </c>
      <c r="K325" s="180"/>
    </row>
  </sheetData>
  <mergeCells count="36">
    <mergeCell ref="A313:A314"/>
    <mergeCell ref="B313:B314"/>
    <mergeCell ref="C313:C314"/>
    <mergeCell ref="D313:I313"/>
    <mergeCell ref="A274:A275"/>
    <mergeCell ref="B274:B275"/>
    <mergeCell ref="C274:C275"/>
    <mergeCell ref="D274:I274"/>
    <mergeCell ref="A235:A236"/>
    <mergeCell ref="B235:B236"/>
    <mergeCell ref="C235:C236"/>
    <mergeCell ref="D235:I235"/>
    <mergeCell ref="A196:A197"/>
    <mergeCell ref="B196:B197"/>
    <mergeCell ref="C196:C197"/>
    <mergeCell ref="D196:I196"/>
    <mergeCell ref="A157:A158"/>
    <mergeCell ref="B157:B158"/>
    <mergeCell ref="C157:C158"/>
    <mergeCell ref="D157:I157"/>
    <mergeCell ref="A118:A119"/>
    <mergeCell ref="B118:B119"/>
    <mergeCell ref="C118:C119"/>
    <mergeCell ref="D118:I118"/>
    <mergeCell ref="A80:A81"/>
    <mergeCell ref="B80:B81"/>
    <mergeCell ref="C80:C81"/>
    <mergeCell ref="D80:I80"/>
    <mergeCell ref="A42:A43"/>
    <mergeCell ref="B42:B43"/>
    <mergeCell ref="C42:C43"/>
    <mergeCell ref="D42:I42"/>
    <mergeCell ref="A5:A6"/>
    <mergeCell ref="B5:B6"/>
    <mergeCell ref="C5:C6"/>
    <mergeCell ref="D5:I5"/>
  </mergeCells>
  <printOptions/>
  <pageMargins left="0.75" right="0.32" top="0.57" bottom="0.74" header="0.4921259845" footer="0.4921259845"/>
  <pageSetup horizontalDpi="600" verticalDpi="600" orientation="landscape" paperSize="9" r:id="rId1"/>
  <headerFooter alignWithMargins="0"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63"/>
  <sheetViews>
    <sheetView zoomScale="75" zoomScaleNormal="75" workbookViewId="0" topLeftCell="A1">
      <selection activeCell="K139" sqref="K139"/>
    </sheetView>
  </sheetViews>
  <sheetFormatPr defaultColWidth="9.00390625" defaultRowHeight="12.75"/>
  <cols>
    <col min="1" max="1" width="30.625" style="0" customWidth="1"/>
    <col min="2" max="2" width="13.00390625" style="0" customWidth="1"/>
    <col min="3" max="3" width="10.875" style="0" customWidth="1"/>
    <col min="4" max="4" width="11.75390625" style="0" customWidth="1"/>
    <col min="5" max="5" width="10.375" style="0" customWidth="1"/>
    <col min="6" max="7" width="10.75390625" style="0" customWidth="1"/>
    <col min="8" max="8" width="12.00390625" style="0" customWidth="1"/>
    <col min="9" max="9" width="11.25390625" style="0" customWidth="1"/>
  </cols>
  <sheetData>
    <row r="1" ht="13.5" thickBot="1">
      <c r="H1" s="118" t="s">
        <v>10</v>
      </c>
    </row>
    <row r="2" spans="1:9" ht="12.75">
      <c r="A2" s="185" t="s">
        <v>11</v>
      </c>
      <c r="B2" s="187" t="s">
        <v>0</v>
      </c>
      <c r="C2" s="190" t="s">
        <v>17</v>
      </c>
      <c r="D2" s="187" t="s">
        <v>298</v>
      </c>
      <c r="E2" s="187"/>
      <c r="F2" s="187"/>
      <c r="G2" s="187"/>
      <c r="H2" s="187"/>
      <c r="I2" s="189"/>
    </row>
    <row r="3" spans="1:9" ht="26.25" thickBot="1">
      <c r="A3" s="186"/>
      <c r="B3" s="188"/>
      <c r="C3" s="191"/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2" t="s">
        <v>9</v>
      </c>
    </row>
    <row r="4" spans="1:9" ht="12.75">
      <c r="A4" s="14" t="s">
        <v>299</v>
      </c>
      <c r="B4" s="57"/>
      <c r="C4" s="57"/>
      <c r="D4" s="59"/>
      <c r="E4" s="59"/>
      <c r="F4" s="59"/>
      <c r="G4" s="59"/>
      <c r="H4" s="59"/>
      <c r="I4" s="60"/>
    </row>
    <row r="5" spans="1:9" ht="12.75">
      <c r="A5" s="46" t="s">
        <v>300</v>
      </c>
      <c r="B5" s="57"/>
      <c r="C5" s="57"/>
      <c r="D5" s="59"/>
      <c r="E5" s="59"/>
      <c r="F5" s="59"/>
      <c r="G5" s="59"/>
      <c r="H5" s="59"/>
      <c r="I5" s="60"/>
    </row>
    <row r="6" spans="1:9" ht="12.75">
      <c r="A6" s="15" t="s">
        <v>301</v>
      </c>
      <c r="B6" s="61">
        <v>60436093</v>
      </c>
      <c r="C6" s="61">
        <v>3113</v>
      </c>
      <c r="D6" s="16">
        <f>3924+26</f>
        <v>3950</v>
      </c>
      <c r="E6" s="16">
        <v>60</v>
      </c>
      <c r="F6" s="16">
        <f>1488+9</f>
        <v>1497</v>
      </c>
      <c r="G6" s="16">
        <v>107</v>
      </c>
      <c r="H6" s="16">
        <f aca="true" t="shared" si="0" ref="H6:H12">+D6+E6+F6+G6</f>
        <v>5614</v>
      </c>
      <c r="I6" s="62">
        <v>21</v>
      </c>
    </row>
    <row r="7" spans="1:9" ht="12.75">
      <c r="A7" s="5" t="s">
        <v>302</v>
      </c>
      <c r="B7" s="6">
        <v>60436131</v>
      </c>
      <c r="C7" s="61">
        <v>3113</v>
      </c>
      <c r="D7" s="7">
        <v>4357</v>
      </c>
      <c r="E7" s="7">
        <v>60</v>
      </c>
      <c r="F7" s="7">
        <v>1650</v>
      </c>
      <c r="G7" s="7">
        <v>152</v>
      </c>
      <c r="H7" s="16">
        <f t="shared" si="0"/>
        <v>6219</v>
      </c>
      <c r="I7" s="31">
        <v>23</v>
      </c>
    </row>
    <row r="8" spans="1:9" ht="12.75">
      <c r="A8" s="5" t="s">
        <v>303</v>
      </c>
      <c r="B8" s="6">
        <v>60436123</v>
      </c>
      <c r="C8" s="61">
        <v>3113</v>
      </c>
      <c r="D8" s="7">
        <f>11119+84</f>
        <v>11203</v>
      </c>
      <c r="E8" s="7">
        <v>144</v>
      </c>
      <c r="F8" s="7">
        <f>4208+32</f>
        <v>4240</v>
      </c>
      <c r="G8" s="7">
        <v>341</v>
      </c>
      <c r="H8" s="16">
        <f t="shared" si="0"/>
        <v>15928</v>
      </c>
      <c r="I8" s="31">
        <v>64</v>
      </c>
    </row>
    <row r="9" spans="1:9" ht="12.75">
      <c r="A9" s="5" t="s">
        <v>304</v>
      </c>
      <c r="B9" s="6">
        <v>60436115</v>
      </c>
      <c r="C9" s="61">
        <v>3113</v>
      </c>
      <c r="D9" s="7">
        <f>7105+46</f>
        <v>7151</v>
      </c>
      <c r="E9" s="7">
        <v>70</v>
      </c>
      <c r="F9" s="7">
        <f>2679+18</f>
        <v>2697</v>
      </c>
      <c r="G9" s="7">
        <v>184</v>
      </c>
      <c r="H9" s="16">
        <f t="shared" si="0"/>
        <v>10102</v>
      </c>
      <c r="I9" s="31">
        <v>35</v>
      </c>
    </row>
    <row r="10" spans="1:9" ht="12.75">
      <c r="A10" s="5" t="s">
        <v>305</v>
      </c>
      <c r="B10" s="6">
        <v>60436166</v>
      </c>
      <c r="C10" s="61">
        <v>3113</v>
      </c>
      <c r="D10" s="7">
        <f>7424+46</f>
        <v>7470</v>
      </c>
      <c r="E10" s="7">
        <v>117</v>
      </c>
      <c r="F10" s="7">
        <f>2818+18</f>
        <v>2836</v>
      </c>
      <c r="G10" s="7">
        <v>211</v>
      </c>
      <c r="H10" s="16">
        <f t="shared" si="0"/>
        <v>10634</v>
      </c>
      <c r="I10" s="31">
        <v>40.5</v>
      </c>
    </row>
    <row r="11" spans="1:9" ht="12.75">
      <c r="A11" s="5" t="s">
        <v>306</v>
      </c>
      <c r="B11" s="6">
        <v>60436158</v>
      </c>
      <c r="C11" s="61">
        <v>3113</v>
      </c>
      <c r="D11" s="7">
        <f>7074+72</f>
        <v>7146</v>
      </c>
      <c r="E11" s="7">
        <v>66</v>
      </c>
      <c r="F11" s="7">
        <f>2668+26</f>
        <v>2694</v>
      </c>
      <c r="G11" s="7">
        <v>190</v>
      </c>
      <c r="H11" s="16">
        <f t="shared" si="0"/>
        <v>10096</v>
      </c>
      <c r="I11" s="31">
        <v>38</v>
      </c>
    </row>
    <row r="12" spans="1:9" ht="12.75">
      <c r="A12" s="5" t="s">
        <v>307</v>
      </c>
      <c r="B12" s="6">
        <v>60436140</v>
      </c>
      <c r="C12" s="61">
        <v>3113</v>
      </c>
      <c r="D12" s="7">
        <f>9945+72</f>
        <v>10017</v>
      </c>
      <c r="E12" s="7">
        <v>76</v>
      </c>
      <c r="F12" s="7">
        <f>3746+26</f>
        <v>3772</v>
      </c>
      <c r="G12" s="7">
        <v>262</v>
      </c>
      <c r="H12" s="7">
        <f t="shared" si="0"/>
        <v>14127</v>
      </c>
      <c r="I12" s="31">
        <v>57.7</v>
      </c>
    </row>
    <row r="13" spans="1:9" ht="12.75">
      <c r="A13" s="89" t="s">
        <v>308</v>
      </c>
      <c r="B13" s="19"/>
      <c r="C13" s="19"/>
      <c r="D13" s="19"/>
      <c r="E13" s="19"/>
      <c r="F13" s="19"/>
      <c r="G13" s="51"/>
      <c r="H13" s="119"/>
      <c r="I13" s="171"/>
    </row>
    <row r="14" spans="1:9" ht="12.75">
      <c r="A14" s="5" t="s">
        <v>309</v>
      </c>
      <c r="B14" s="6">
        <v>48134201</v>
      </c>
      <c r="C14" s="6">
        <v>3113</v>
      </c>
      <c r="D14" s="7">
        <v>10404</v>
      </c>
      <c r="E14" s="7">
        <v>122</v>
      </c>
      <c r="F14" s="7">
        <v>3927</v>
      </c>
      <c r="G14" s="16">
        <v>272</v>
      </c>
      <c r="H14" s="16">
        <f aca="true" t="shared" si="1" ref="H14:H24">+D14+E14+F14+G14</f>
        <v>14725</v>
      </c>
      <c r="I14" s="31">
        <v>52.9</v>
      </c>
    </row>
    <row r="15" spans="1:9" ht="12.75">
      <c r="A15" s="5" t="s">
        <v>310</v>
      </c>
      <c r="B15" s="6">
        <v>47610859</v>
      </c>
      <c r="C15" s="61">
        <v>3113</v>
      </c>
      <c r="D15" s="7">
        <f>4864+38</f>
        <v>4902</v>
      </c>
      <c r="E15" s="7">
        <v>35</v>
      </c>
      <c r="F15" s="7">
        <f>1830+14</f>
        <v>1844</v>
      </c>
      <c r="G15" s="7">
        <v>132</v>
      </c>
      <c r="H15" s="16">
        <f t="shared" si="1"/>
        <v>6913</v>
      </c>
      <c r="I15" s="31">
        <v>26.7</v>
      </c>
    </row>
    <row r="16" spans="1:9" ht="12.75">
      <c r="A16" s="5" t="s">
        <v>311</v>
      </c>
      <c r="B16" s="6">
        <v>49624911</v>
      </c>
      <c r="C16" s="61">
        <v>3113</v>
      </c>
      <c r="D16" s="7">
        <f>5990+46</f>
        <v>6036</v>
      </c>
      <c r="E16" s="7">
        <v>30</v>
      </c>
      <c r="F16" s="7">
        <f>2250+18</f>
        <v>2268</v>
      </c>
      <c r="G16" s="7">
        <v>176</v>
      </c>
      <c r="H16" s="16">
        <f t="shared" si="1"/>
        <v>8510</v>
      </c>
      <c r="I16" s="31">
        <v>32</v>
      </c>
    </row>
    <row r="17" spans="1:9" ht="12.75">
      <c r="A17" s="5" t="s">
        <v>312</v>
      </c>
      <c r="B17" s="6">
        <v>47610425</v>
      </c>
      <c r="C17" s="61">
        <v>3113</v>
      </c>
      <c r="D17" s="7">
        <f>7243+23</f>
        <v>7266</v>
      </c>
      <c r="E17" s="7">
        <v>90</v>
      </c>
      <c r="F17" s="7">
        <f>2742+9</f>
        <v>2751</v>
      </c>
      <c r="G17" s="7">
        <v>184</v>
      </c>
      <c r="H17" s="16">
        <f t="shared" si="1"/>
        <v>10291</v>
      </c>
      <c r="I17" s="31">
        <v>35.5</v>
      </c>
    </row>
    <row r="18" spans="1:9" ht="12.75">
      <c r="A18" s="5" t="s">
        <v>313</v>
      </c>
      <c r="B18" s="6">
        <v>47609737</v>
      </c>
      <c r="C18" s="61">
        <v>3113</v>
      </c>
      <c r="D18" s="7">
        <f>7955+46</f>
        <v>8001</v>
      </c>
      <c r="E18" s="7">
        <v>100</v>
      </c>
      <c r="F18" s="7">
        <f>3008+18</f>
        <v>3026</v>
      </c>
      <c r="G18" s="7">
        <v>281</v>
      </c>
      <c r="H18" s="16">
        <f t="shared" si="1"/>
        <v>11408</v>
      </c>
      <c r="I18" s="31">
        <v>46</v>
      </c>
    </row>
    <row r="19" spans="1:9" ht="12.75">
      <c r="A19" s="5" t="s">
        <v>314</v>
      </c>
      <c r="B19" s="6">
        <v>47611928</v>
      </c>
      <c r="C19" s="61">
        <v>3113</v>
      </c>
      <c r="D19" s="7">
        <f>6100+46</f>
        <v>6146</v>
      </c>
      <c r="E19" s="7">
        <v>130</v>
      </c>
      <c r="F19" s="7">
        <f>2324+18</f>
        <v>2342</v>
      </c>
      <c r="G19" s="7">
        <v>165</v>
      </c>
      <c r="H19" s="16">
        <f t="shared" si="1"/>
        <v>8783</v>
      </c>
      <c r="I19" s="31">
        <v>35</v>
      </c>
    </row>
    <row r="20" spans="1:9" ht="12.75">
      <c r="A20" s="5" t="s">
        <v>315</v>
      </c>
      <c r="B20" s="6">
        <v>60460318</v>
      </c>
      <c r="C20" s="61">
        <v>3113</v>
      </c>
      <c r="D20" s="7">
        <f>7187+46</f>
        <v>7233</v>
      </c>
      <c r="E20" s="7">
        <v>66</v>
      </c>
      <c r="F20" s="7">
        <f>2707+18</f>
        <v>2725</v>
      </c>
      <c r="G20" s="7">
        <v>183</v>
      </c>
      <c r="H20" s="16">
        <f t="shared" si="1"/>
        <v>10207</v>
      </c>
      <c r="I20" s="31">
        <v>41</v>
      </c>
    </row>
    <row r="21" spans="1:9" ht="12.75">
      <c r="A21" s="5" t="s">
        <v>316</v>
      </c>
      <c r="B21" s="6">
        <v>48132926</v>
      </c>
      <c r="C21" s="61">
        <v>3113</v>
      </c>
      <c r="D21" s="7">
        <f>6828+46</f>
        <v>6874</v>
      </c>
      <c r="E21" s="7">
        <v>185</v>
      </c>
      <c r="F21" s="7">
        <f>2618+18</f>
        <v>2636</v>
      </c>
      <c r="G21" s="7">
        <v>193</v>
      </c>
      <c r="H21" s="16">
        <f t="shared" si="1"/>
        <v>9888</v>
      </c>
      <c r="I21" s="31">
        <v>39</v>
      </c>
    </row>
    <row r="22" spans="1:9" ht="12.75">
      <c r="A22" s="5" t="s">
        <v>317</v>
      </c>
      <c r="B22" s="6">
        <v>61386341</v>
      </c>
      <c r="C22" s="61">
        <v>3113</v>
      </c>
      <c r="D22" s="7">
        <f>5469+46</f>
        <v>5515</v>
      </c>
      <c r="E22" s="7">
        <v>66</v>
      </c>
      <c r="F22" s="7">
        <f>2067+18</f>
        <v>2085</v>
      </c>
      <c r="G22" s="7">
        <v>147</v>
      </c>
      <c r="H22" s="16">
        <f t="shared" si="1"/>
        <v>7813</v>
      </c>
      <c r="I22" s="31">
        <v>27.5</v>
      </c>
    </row>
    <row r="23" spans="1:9" ht="12.75">
      <c r="A23" s="5" t="s">
        <v>318</v>
      </c>
      <c r="B23" s="6">
        <v>47609842</v>
      </c>
      <c r="C23" s="61">
        <v>3113</v>
      </c>
      <c r="D23" s="7">
        <f>5437+23</f>
        <v>5460</v>
      </c>
      <c r="E23" s="7">
        <v>31</v>
      </c>
      <c r="F23" s="7">
        <f>2045+9</f>
        <v>2054</v>
      </c>
      <c r="G23" s="7">
        <v>158</v>
      </c>
      <c r="H23" s="16">
        <f t="shared" si="1"/>
        <v>7703</v>
      </c>
      <c r="I23" s="31">
        <v>30</v>
      </c>
    </row>
    <row r="24" spans="1:9" ht="12.75">
      <c r="A24" s="5" t="s">
        <v>319</v>
      </c>
      <c r="B24" s="6">
        <v>47610361</v>
      </c>
      <c r="C24" s="61">
        <v>3113</v>
      </c>
      <c r="D24" s="7">
        <f>5490+26</f>
        <v>5516</v>
      </c>
      <c r="E24" s="7">
        <v>94</v>
      </c>
      <c r="F24" s="7">
        <f>2086+9</f>
        <v>2095</v>
      </c>
      <c r="G24" s="7">
        <v>127</v>
      </c>
      <c r="H24" s="16">
        <f t="shared" si="1"/>
        <v>7832</v>
      </c>
      <c r="I24" s="31">
        <v>29</v>
      </c>
    </row>
    <row r="25" spans="1:9" ht="12.75">
      <c r="A25" s="89" t="s">
        <v>320</v>
      </c>
      <c r="B25" s="19"/>
      <c r="C25" s="19"/>
      <c r="D25" s="19"/>
      <c r="E25" s="19"/>
      <c r="F25" s="19"/>
      <c r="G25" s="51"/>
      <c r="H25" s="119"/>
      <c r="I25" s="171"/>
    </row>
    <row r="26" spans="1:9" ht="12.75">
      <c r="A26" s="5" t="s">
        <v>321</v>
      </c>
      <c r="B26" s="6">
        <v>63831325</v>
      </c>
      <c r="C26" s="6">
        <v>3113</v>
      </c>
      <c r="D26" s="7">
        <f>7500+46</f>
        <v>7546</v>
      </c>
      <c r="E26" s="7">
        <v>40</v>
      </c>
      <c r="F26" s="7">
        <f>2819+18</f>
        <v>2837</v>
      </c>
      <c r="G26" s="16">
        <v>146</v>
      </c>
      <c r="H26" s="16">
        <f aca="true" t="shared" si="2" ref="H26:H37">+D26+E26+F26+G26</f>
        <v>10569</v>
      </c>
      <c r="I26" s="31">
        <v>47</v>
      </c>
    </row>
    <row r="27" spans="1:9" ht="12.75">
      <c r="A27" s="5" t="s">
        <v>322</v>
      </c>
      <c r="B27" s="6">
        <v>63831333</v>
      </c>
      <c r="C27" s="6">
        <v>3113</v>
      </c>
      <c r="D27" s="7">
        <f>11565+72</f>
        <v>11637</v>
      </c>
      <c r="E27" s="7">
        <v>75</v>
      </c>
      <c r="F27" s="7">
        <f>4338+26</f>
        <v>4364</v>
      </c>
      <c r="G27" s="7">
        <v>327</v>
      </c>
      <c r="H27" s="16">
        <f t="shared" si="2"/>
        <v>16403</v>
      </c>
      <c r="I27" s="31">
        <v>66</v>
      </c>
    </row>
    <row r="28" spans="1:9" ht="12.75">
      <c r="A28" s="5" t="s">
        <v>323</v>
      </c>
      <c r="B28" s="6">
        <v>63831341</v>
      </c>
      <c r="C28" s="6">
        <v>3113</v>
      </c>
      <c r="D28" s="7">
        <f>10841+84</f>
        <v>10925</v>
      </c>
      <c r="E28" s="7">
        <v>51</v>
      </c>
      <c r="F28" s="7">
        <f>4070+32</f>
        <v>4102</v>
      </c>
      <c r="G28" s="7">
        <v>335</v>
      </c>
      <c r="H28" s="16">
        <f t="shared" si="2"/>
        <v>15413</v>
      </c>
      <c r="I28" s="31">
        <v>64.4</v>
      </c>
    </row>
    <row r="29" spans="1:9" ht="12.75">
      <c r="A29" s="5" t="s">
        <v>324</v>
      </c>
      <c r="B29" s="6">
        <v>63831350</v>
      </c>
      <c r="C29" s="6">
        <v>3113</v>
      </c>
      <c r="D29" s="7">
        <f>7307+46</f>
        <v>7353</v>
      </c>
      <c r="E29" s="7">
        <v>25</v>
      </c>
      <c r="F29" s="7">
        <f>2741+18</f>
        <v>2759</v>
      </c>
      <c r="G29" s="7">
        <v>196</v>
      </c>
      <c r="H29" s="16">
        <f t="shared" si="2"/>
        <v>10333</v>
      </c>
      <c r="I29" s="31">
        <v>41.5</v>
      </c>
    </row>
    <row r="30" spans="1:9" ht="12.75">
      <c r="A30" s="5" t="s">
        <v>325</v>
      </c>
      <c r="B30" s="6">
        <v>63831368</v>
      </c>
      <c r="C30" s="6">
        <v>3113</v>
      </c>
      <c r="D30" s="7">
        <f>11423+72</f>
        <v>11495</v>
      </c>
      <c r="E30" s="7">
        <v>35</v>
      </c>
      <c r="F30" s="7">
        <f>4286+26</f>
        <v>4312</v>
      </c>
      <c r="G30" s="7">
        <v>347</v>
      </c>
      <c r="H30" s="16">
        <f t="shared" si="2"/>
        <v>16189</v>
      </c>
      <c r="I30" s="31">
        <v>64.5</v>
      </c>
    </row>
    <row r="31" spans="1:9" ht="12.75">
      <c r="A31" s="5" t="s">
        <v>326</v>
      </c>
      <c r="B31" s="6">
        <v>63831376</v>
      </c>
      <c r="C31" s="6">
        <v>3113</v>
      </c>
      <c r="D31" s="7">
        <f>6836+35</f>
        <v>6871</v>
      </c>
      <c r="E31" s="7">
        <v>40</v>
      </c>
      <c r="F31" s="7">
        <f>2570+14</f>
        <v>2584</v>
      </c>
      <c r="G31" s="7">
        <v>169</v>
      </c>
      <c r="H31" s="16">
        <f t="shared" si="2"/>
        <v>9664</v>
      </c>
      <c r="I31" s="31">
        <v>39.5</v>
      </c>
    </row>
    <row r="32" spans="1:9" ht="12.75">
      <c r="A32" s="5" t="s">
        <v>327</v>
      </c>
      <c r="B32" s="6">
        <v>63831406</v>
      </c>
      <c r="C32" s="6">
        <v>3113</v>
      </c>
      <c r="D32" s="7">
        <f>8300+61</f>
        <v>8361</v>
      </c>
      <c r="E32" s="7">
        <v>50</v>
      </c>
      <c r="F32" s="7">
        <f>3116+23</f>
        <v>3139</v>
      </c>
      <c r="G32" s="7">
        <v>230</v>
      </c>
      <c r="H32" s="16">
        <f t="shared" si="2"/>
        <v>11780</v>
      </c>
      <c r="I32" s="31">
        <v>49</v>
      </c>
    </row>
    <row r="33" spans="1:9" ht="12.75">
      <c r="A33" s="5" t="s">
        <v>328</v>
      </c>
      <c r="B33" s="6">
        <v>63831392</v>
      </c>
      <c r="C33" s="6">
        <v>3113</v>
      </c>
      <c r="D33" s="7">
        <f>9502+46</f>
        <v>9548</v>
      </c>
      <c r="E33" s="7">
        <v>42</v>
      </c>
      <c r="F33" s="7">
        <f>3565+18</f>
        <v>3583</v>
      </c>
      <c r="G33" s="7">
        <v>258</v>
      </c>
      <c r="H33" s="16">
        <f t="shared" si="2"/>
        <v>13431</v>
      </c>
      <c r="I33" s="31">
        <v>56</v>
      </c>
    </row>
    <row r="34" spans="1:9" ht="12.75">
      <c r="A34" s="5" t="s">
        <v>329</v>
      </c>
      <c r="B34" s="6">
        <v>63831414</v>
      </c>
      <c r="C34" s="6">
        <v>3113</v>
      </c>
      <c r="D34" s="7">
        <f>6351+46</f>
        <v>6397</v>
      </c>
      <c r="E34" s="7">
        <v>32</v>
      </c>
      <c r="F34" s="7">
        <f>2381+18</f>
        <v>2399</v>
      </c>
      <c r="G34" s="7">
        <v>172</v>
      </c>
      <c r="H34" s="16">
        <f t="shared" si="2"/>
        <v>9000</v>
      </c>
      <c r="I34" s="31">
        <v>39.5</v>
      </c>
    </row>
    <row r="35" spans="1:9" ht="12.75">
      <c r="A35" s="5" t="s">
        <v>330</v>
      </c>
      <c r="B35" s="6">
        <v>63831449</v>
      </c>
      <c r="C35" s="6">
        <v>3113</v>
      </c>
      <c r="D35" s="7">
        <v>5608</v>
      </c>
      <c r="E35" s="7">
        <v>20</v>
      </c>
      <c r="F35" s="7">
        <v>2106</v>
      </c>
      <c r="G35" s="7">
        <v>213</v>
      </c>
      <c r="H35" s="16">
        <f t="shared" si="2"/>
        <v>7947</v>
      </c>
      <c r="I35" s="31">
        <v>32.7</v>
      </c>
    </row>
    <row r="36" spans="1:9" ht="12.75">
      <c r="A36" s="5" t="s">
        <v>331</v>
      </c>
      <c r="B36" s="6">
        <v>63831431</v>
      </c>
      <c r="C36" s="6">
        <v>3113</v>
      </c>
      <c r="D36" s="7">
        <f>9372+46</f>
        <v>9418</v>
      </c>
      <c r="E36" s="7">
        <v>35</v>
      </c>
      <c r="F36" s="7">
        <f>3515+18</f>
        <v>3533</v>
      </c>
      <c r="G36" s="7">
        <v>217</v>
      </c>
      <c r="H36" s="16">
        <f t="shared" si="2"/>
        <v>13203</v>
      </c>
      <c r="I36" s="31">
        <v>52.6</v>
      </c>
    </row>
    <row r="37" spans="1:9" ht="13.5" thickBot="1">
      <c r="A37" s="9" t="s">
        <v>332</v>
      </c>
      <c r="B37" s="10">
        <v>63831384</v>
      </c>
      <c r="C37" s="10">
        <v>3113</v>
      </c>
      <c r="D37" s="11">
        <f>5857+23</f>
        <v>5880</v>
      </c>
      <c r="E37" s="11">
        <v>15</v>
      </c>
      <c r="F37" s="11">
        <f>2195+9</f>
        <v>2204</v>
      </c>
      <c r="G37" s="11">
        <v>157</v>
      </c>
      <c r="H37" s="11">
        <f t="shared" si="2"/>
        <v>8256</v>
      </c>
      <c r="I37" s="117">
        <v>34</v>
      </c>
    </row>
    <row r="38" spans="1:9" ht="12.75">
      <c r="A38" s="29"/>
      <c r="B38" s="29"/>
      <c r="C38" s="29"/>
      <c r="D38" s="32"/>
      <c r="E38" s="32"/>
      <c r="F38" s="32"/>
      <c r="G38" s="32"/>
      <c r="H38" s="32"/>
      <c r="I38" s="33"/>
    </row>
    <row r="39" spans="1:9" ht="13.5" thickBot="1">
      <c r="A39" s="29"/>
      <c r="B39" s="29"/>
      <c r="C39" s="29"/>
      <c r="D39" s="32"/>
      <c r="E39" s="32"/>
      <c r="F39" s="32"/>
      <c r="G39" s="32"/>
      <c r="H39" s="32"/>
      <c r="I39" s="33"/>
    </row>
    <row r="40" spans="1:9" ht="12.75" customHeight="1">
      <c r="A40" s="185" t="s">
        <v>11</v>
      </c>
      <c r="B40" s="187" t="s">
        <v>0</v>
      </c>
      <c r="C40" s="190" t="s">
        <v>17</v>
      </c>
      <c r="D40" s="187" t="s">
        <v>298</v>
      </c>
      <c r="E40" s="187"/>
      <c r="F40" s="187"/>
      <c r="G40" s="187"/>
      <c r="H40" s="187"/>
      <c r="I40" s="189"/>
    </row>
    <row r="41" spans="1:9" ht="26.25" thickBot="1">
      <c r="A41" s="186"/>
      <c r="B41" s="188"/>
      <c r="C41" s="191"/>
      <c r="D41" s="1" t="s">
        <v>2</v>
      </c>
      <c r="E41" s="1" t="s">
        <v>3</v>
      </c>
      <c r="F41" s="1" t="s">
        <v>4</v>
      </c>
      <c r="G41" s="1" t="s">
        <v>5</v>
      </c>
      <c r="H41" s="1" t="s">
        <v>6</v>
      </c>
      <c r="I41" s="2" t="s">
        <v>9</v>
      </c>
    </row>
    <row r="42" spans="1:9" ht="12.75">
      <c r="A42" s="120" t="s">
        <v>333</v>
      </c>
      <c r="B42" s="19"/>
      <c r="C42" s="19"/>
      <c r="D42" s="19"/>
      <c r="E42" s="19"/>
      <c r="F42" s="19"/>
      <c r="G42" s="19"/>
      <c r="H42" s="19"/>
      <c r="I42" s="101"/>
    </row>
    <row r="43" spans="1:9" ht="12.75">
      <c r="A43" s="34" t="s">
        <v>334</v>
      </c>
      <c r="B43" s="121">
        <v>45242810</v>
      </c>
      <c r="C43" s="6">
        <v>3113</v>
      </c>
      <c r="D43" s="35">
        <f>7316+46</f>
        <v>7362</v>
      </c>
      <c r="E43" s="35">
        <v>54</v>
      </c>
      <c r="F43" s="35">
        <f>2748+18</f>
        <v>2766</v>
      </c>
      <c r="G43" s="35">
        <v>221</v>
      </c>
      <c r="H43" s="35">
        <f aca="true" t="shared" si="3" ref="H43:H66">+D43+E43+F43+G43</f>
        <v>10403</v>
      </c>
      <c r="I43" s="36">
        <v>42.3</v>
      </c>
    </row>
    <row r="44" spans="1:9" ht="12.75">
      <c r="A44" s="34" t="s">
        <v>335</v>
      </c>
      <c r="B44" s="121">
        <v>60435917</v>
      </c>
      <c r="C44" s="6">
        <v>3113</v>
      </c>
      <c r="D44" s="35">
        <f>9967+84</f>
        <v>10051</v>
      </c>
      <c r="E44" s="35">
        <v>194</v>
      </c>
      <c r="F44" s="35">
        <f>3795+32</f>
        <v>3827</v>
      </c>
      <c r="G44" s="35">
        <v>306</v>
      </c>
      <c r="H44" s="35">
        <f t="shared" si="3"/>
        <v>14378</v>
      </c>
      <c r="I44" s="36">
        <v>52</v>
      </c>
    </row>
    <row r="45" spans="1:9" ht="12.75">
      <c r="A45" s="34" t="s">
        <v>336</v>
      </c>
      <c r="B45" s="121">
        <v>60436221</v>
      </c>
      <c r="C45" s="6">
        <v>3113</v>
      </c>
      <c r="D45" s="35">
        <f>9584+72</f>
        <v>9656</v>
      </c>
      <c r="E45" s="35">
        <v>70</v>
      </c>
      <c r="F45" s="35">
        <f>3603+26</f>
        <v>3629</v>
      </c>
      <c r="G45" s="35">
        <v>290</v>
      </c>
      <c r="H45" s="35">
        <f t="shared" si="3"/>
        <v>13645</v>
      </c>
      <c r="I45" s="36">
        <v>55</v>
      </c>
    </row>
    <row r="46" spans="1:9" ht="12.75">
      <c r="A46" s="34" t="s">
        <v>337</v>
      </c>
      <c r="B46" s="121">
        <v>47611634</v>
      </c>
      <c r="C46" s="6">
        <v>3113</v>
      </c>
      <c r="D46" s="35">
        <f>9058+81</f>
        <v>9139</v>
      </c>
      <c r="E46" s="35">
        <v>46</v>
      </c>
      <c r="F46" s="35">
        <f>3406+32</f>
        <v>3438</v>
      </c>
      <c r="G46" s="35">
        <v>286</v>
      </c>
      <c r="H46" s="35">
        <f t="shared" si="3"/>
        <v>12909</v>
      </c>
      <c r="I46" s="36">
        <v>54</v>
      </c>
    </row>
    <row r="47" spans="1:9" ht="12.75">
      <c r="A47" s="34" t="s">
        <v>338</v>
      </c>
      <c r="B47" s="121">
        <v>47611642</v>
      </c>
      <c r="C47" s="6">
        <v>3113</v>
      </c>
      <c r="D47" s="35">
        <f>10005+61</f>
        <v>10066</v>
      </c>
      <c r="E47" s="35">
        <v>50</v>
      </c>
      <c r="F47" s="35">
        <f>3734+23</f>
        <v>3757</v>
      </c>
      <c r="G47" s="35">
        <v>299</v>
      </c>
      <c r="H47" s="35">
        <f t="shared" si="3"/>
        <v>14172</v>
      </c>
      <c r="I47" s="36">
        <v>55.5</v>
      </c>
    </row>
    <row r="48" spans="1:9" ht="12.75">
      <c r="A48" s="34" t="s">
        <v>339</v>
      </c>
      <c r="B48" s="121">
        <v>47611413</v>
      </c>
      <c r="C48" s="6">
        <v>3113</v>
      </c>
      <c r="D48" s="35">
        <f>10220+72</f>
        <v>10292</v>
      </c>
      <c r="E48" s="35">
        <v>47</v>
      </c>
      <c r="F48" s="35">
        <f>3831+26</f>
        <v>3857</v>
      </c>
      <c r="G48" s="35">
        <v>315</v>
      </c>
      <c r="H48" s="35">
        <f t="shared" si="3"/>
        <v>14511</v>
      </c>
      <c r="I48" s="36">
        <v>58</v>
      </c>
    </row>
    <row r="49" spans="1:9" ht="12.75">
      <c r="A49" s="34" t="s">
        <v>340</v>
      </c>
      <c r="B49" s="121">
        <v>61384216</v>
      </c>
      <c r="C49" s="6">
        <v>3113</v>
      </c>
      <c r="D49" s="35">
        <f>11592+72</f>
        <v>11664</v>
      </c>
      <c r="E49" s="35">
        <v>35</v>
      </c>
      <c r="F49" s="35">
        <f>4350+26</f>
        <v>4376</v>
      </c>
      <c r="G49" s="35">
        <v>347</v>
      </c>
      <c r="H49" s="35">
        <f t="shared" si="3"/>
        <v>16422</v>
      </c>
      <c r="I49" s="36">
        <v>64.7</v>
      </c>
    </row>
    <row r="50" spans="1:9" ht="12.75">
      <c r="A50" s="5" t="s">
        <v>341</v>
      </c>
      <c r="B50" s="6">
        <v>47611243</v>
      </c>
      <c r="C50" s="6">
        <v>3113</v>
      </c>
      <c r="D50" s="7">
        <f>7479+46</f>
        <v>7525</v>
      </c>
      <c r="E50" s="7">
        <v>130</v>
      </c>
      <c r="F50" s="7">
        <f>2835+18</f>
        <v>2853</v>
      </c>
      <c r="G50" s="7">
        <v>221</v>
      </c>
      <c r="H50" s="35">
        <f t="shared" si="3"/>
        <v>10729</v>
      </c>
      <c r="I50" s="31">
        <v>42</v>
      </c>
    </row>
    <row r="51" spans="1:9" ht="12.75">
      <c r="A51" s="34" t="s">
        <v>342</v>
      </c>
      <c r="B51" s="121">
        <v>61384828</v>
      </c>
      <c r="C51" s="6">
        <v>3113</v>
      </c>
      <c r="D51" s="35">
        <f>9264+61</f>
        <v>9325</v>
      </c>
      <c r="E51" s="35">
        <v>70</v>
      </c>
      <c r="F51" s="35">
        <f>3491+23</f>
        <v>3514</v>
      </c>
      <c r="G51" s="35">
        <v>332</v>
      </c>
      <c r="H51" s="35">
        <f t="shared" si="3"/>
        <v>13241</v>
      </c>
      <c r="I51" s="36">
        <v>54</v>
      </c>
    </row>
    <row r="52" spans="1:9" ht="12.75">
      <c r="A52" s="34" t="s">
        <v>343</v>
      </c>
      <c r="B52" s="121">
        <v>48134023</v>
      </c>
      <c r="C52" s="6">
        <v>3113</v>
      </c>
      <c r="D52" s="35">
        <v>13553</v>
      </c>
      <c r="E52" s="35">
        <v>25</v>
      </c>
      <c r="F52" s="35">
        <v>5077</v>
      </c>
      <c r="G52" s="35">
        <v>325</v>
      </c>
      <c r="H52" s="35">
        <f t="shared" si="3"/>
        <v>18980</v>
      </c>
      <c r="I52" s="36">
        <v>69.9</v>
      </c>
    </row>
    <row r="53" spans="1:9" ht="12.75">
      <c r="A53" s="34" t="s">
        <v>344</v>
      </c>
      <c r="B53" s="121">
        <v>61386201</v>
      </c>
      <c r="C53" s="6">
        <v>3113</v>
      </c>
      <c r="D53" s="35">
        <f>6461+35</f>
        <v>6496</v>
      </c>
      <c r="E53" s="35">
        <v>75</v>
      </c>
      <c r="F53" s="35">
        <f>2444+14</f>
        <v>2458</v>
      </c>
      <c r="G53" s="35">
        <v>193</v>
      </c>
      <c r="H53" s="35">
        <f t="shared" si="3"/>
        <v>9222</v>
      </c>
      <c r="I53" s="36">
        <v>35.2</v>
      </c>
    </row>
    <row r="54" spans="1:9" ht="12.75">
      <c r="A54" s="34" t="s">
        <v>345</v>
      </c>
      <c r="B54" s="121">
        <v>60435348</v>
      </c>
      <c r="C54" s="6">
        <v>3113</v>
      </c>
      <c r="D54" s="35">
        <v>6947</v>
      </c>
      <c r="E54" s="35">
        <v>54</v>
      </c>
      <c r="F54" s="35">
        <v>2620</v>
      </c>
      <c r="G54" s="35">
        <v>197</v>
      </c>
      <c r="H54" s="35">
        <f t="shared" si="3"/>
        <v>9818</v>
      </c>
      <c r="I54" s="36">
        <v>42.5</v>
      </c>
    </row>
    <row r="55" spans="1:9" ht="12.75">
      <c r="A55" s="34" t="s">
        <v>346</v>
      </c>
      <c r="B55" s="121">
        <v>61384704</v>
      </c>
      <c r="C55" s="6">
        <v>3113</v>
      </c>
      <c r="D55" s="35">
        <f>8610+61</f>
        <v>8671</v>
      </c>
      <c r="E55" s="35">
        <v>128</v>
      </c>
      <c r="F55" s="35">
        <f>3257+23</f>
        <v>3280</v>
      </c>
      <c r="G55" s="35">
        <v>241</v>
      </c>
      <c r="H55" s="35">
        <f t="shared" si="3"/>
        <v>12320</v>
      </c>
      <c r="I55" s="36">
        <v>52.5</v>
      </c>
    </row>
    <row r="56" spans="1:9" ht="12.75">
      <c r="A56" s="34" t="s">
        <v>347</v>
      </c>
      <c r="B56" s="121">
        <v>48132900</v>
      </c>
      <c r="C56" s="6">
        <v>3113</v>
      </c>
      <c r="D56" s="35">
        <f>7159+46</f>
        <v>7205</v>
      </c>
      <c r="E56" s="35">
        <v>68</v>
      </c>
      <c r="F56" s="35">
        <f>2696+18</f>
        <v>2714</v>
      </c>
      <c r="G56" s="35">
        <v>227</v>
      </c>
      <c r="H56" s="35">
        <f t="shared" si="3"/>
        <v>10214</v>
      </c>
      <c r="I56" s="36">
        <v>40.5</v>
      </c>
    </row>
    <row r="57" spans="1:9" ht="12.75">
      <c r="A57" s="34" t="s">
        <v>348</v>
      </c>
      <c r="B57" s="121">
        <v>45242801</v>
      </c>
      <c r="C57" s="6">
        <v>3113</v>
      </c>
      <c r="D57" s="35">
        <f>6344+35</f>
        <v>6379</v>
      </c>
      <c r="E57" s="35">
        <v>150</v>
      </c>
      <c r="F57" s="35">
        <f>2415+14</f>
        <v>2429</v>
      </c>
      <c r="G57" s="35">
        <v>165</v>
      </c>
      <c r="H57" s="35">
        <f t="shared" si="3"/>
        <v>9123</v>
      </c>
      <c r="I57" s="36">
        <v>36</v>
      </c>
    </row>
    <row r="58" spans="1:9" ht="12.75">
      <c r="A58" s="34" t="s">
        <v>349</v>
      </c>
      <c r="B58" s="121">
        <v>60435909</v>
      </c>
      <c r="C58" s="6">
        <v>3113</v>
      </c>
      <c r="D58" s="35">
        <f>7285+46</f>
        <v>7331</v>
      </c>
      <c r="E58" s="35">
        <v>140</v>
      </c>
      <c r="F58" s="35">
        <f>2771+18</f>
        <v>2789</v>
      </c>
      <c r="G58" s="35">
        <v>207</v>
      </c>
      <c r="H58" s="35">
        <f t="shared" si="3"/>
        <v>10467</v>
      </c>
      <c r="I58" s="36">
        <v>44</v>
      </c>
    </row>
    <row r="59" spans="1:9" ht="12.75">
      <c r="A59" s="34" t="s">
        <v>350</v>
      </c>
      <c r="B59" s="121">
        <v>61384224</v>
      </c>
      <c r="C59" s="6">
        <v>3113</v>
      </c>
      <c r="D59" s="35">
        <f>6423+46</f>
        <v>6469</v>
      </c>
      <c r="E59" s="35">
        <v>62</v>
      </c>
      <c r="F59" s="35">
        <f>2421+18</f>
        <v>2439</v>
      </c>
      <c r="G59" s="35">
        <v>203</v>
      </c>
      <c r="H59" s="35">
        <f t="shared" si="3"/>
        <v>9173</v>
      </c>
      <c r="I59" s="36">
        <v>36.5</v>
      </c>
    </row>
    <row r="60" spans="1:9" ht="12.75">
      <c r="A60" s="34" t="s">
        <v>351</v>
      </c>
      <c r="B60" s="121">
        <v>60435674</v>
      </c>
      <c r="C60" s="6">
        <v>3113</v>
      </c>
      <c r="D60" s="35">
        <f>10265+35</f>
        <v>10300</v>
      </c>
      <c r="E60" s="35">
        <v>80</v>
      </c>
      <c r="F60" s="35">
        <f>3860+14</f>
        <v>3874</v>
      </c>
      <c r="G60" s="35">
        <v>279</v>
      </c>
      <c r="H60" s="35">
        <f t="shared" si="3"/>
        <v>14533</v>
      </c>
      <c r="I60" s="36">
        <v>54</v>
      </c>
    </row>
    <row r="61" spans="1:9" ht="12.75">
      <c r="A61" s="34" t="s">
        <v>352</v>
      </c>
      <c r="B61" s="121">
        <v>60435640</v>
      </c>
      <c r="C61" s="6">
        <v>3113</v>
      </c>
      <c r="D61" s="35">
        <f>8583+72</f>
        <v>8655</v>
      </c>
      <c r="E61" s="35">
        <v>80</v>
      </c>
      <c r="F61" s="35">
        <f>3239+26</f>
        <v>3265</v>
      </c>
      <c r="G61" s="35">
        <v>253</v>
      </c>
      <c r="H61" s="35">
        <f t="shared" si="3"/>
        <v>12253</v>
      </c>
      <c r="I61" s="36">
        <v>51.5</v>
      </c>
    </row>
    <row r="62" spans="1:9" ht="12.75">
      <c r="A62" s="34" t="s">
        <v>353</v>
      </c>
      <c r="B62" s="121">
        <v>61384755</v>
      </c>
      <c r="C62" s="6">
        <v>3113</v>
      </c>
      <c r="D62" s="35">
        <f>10111+46</f>
        <v>10157</v>
      </c>
      <c r="E62" s="35">
        <v>72</v>
      </c>
      <c r="F62" s="35">
        <f>3812+18</f>
        <v>3830</v>
      </c>
      <c r="G62" s="35">
        <v>281</v>
      </c>
      <c r="H62" s="35">
        <f t="shared" si="3"/>
        <v>14340</v>
      </c>
      <c r="I62" s="36">
        <v>52.2</v>
      </c>
    </row>
    <row r="63" spans="1:9" ht="12.75">
      <c r="A63" s="34" t="s">
        <v>354</v>
      </c>
      <c r="B63" s="121">
        <v>62931377</v>
      </c>
      <c r="C63" s="6">
        <v>3113</v>
      </c>
      <c r="D63" s="35">
        <f>5689+35</f>
        <v>5724</v>
      </c>
      <c r="E63" s="35">
        <v>76</v>
      </c>
      <c r="F63" s="35">
        <f>2154+14</f>
        <v>2168</v>
      </c>
      <c r="G63" s="35">
        <v>179</v>
      </c>
      <c r="H63" s="35">
        <f t="shared" si="3"/>
        <v>8147</v>
      </c>
      <c r="I63" s="36">
        <v>29</v>
      </c>
    </row>
    <row r="64" spans="1:9" ht="12.75">
      <c r="A64" s="34" t="s">
        <v>355</v>
      </c>
      <c r="B64" s="121">
        <v>61384518</v>
      </c>
      <c r="C64" s="6">
        <v>3113</v>
      </c>
      <c r="D64" s="35">
        <f>6818+46</f>
        <v>6864</v>
      </c>
      <c r="E64" s="35">
        <v>96</v>
      </c>
      <c r="F64" s="35">
        <f>2582+18</f>
        <v>2600</v>
      </c>
      <c r="G64" s="35">
        <v>210</v>
      </c>
      <c r="H64" s="35">
        <f t="shared" si="3"/>
        <v>9770</v>
      </c>
      <c r="I64" s="36">
        <v>38.5</v>
      </c>
    </row>
    <row r="65" spans="1:9" ht="12.75">
      <c r="A65" s="34" t="s">
        <v>356</v>
      </c>
      <c r="B65" s="121">
        <v>60435500</v>
      </c>
      <c r="C65" s="6">
        <v>3113</v>
      </c>
      <c r="D65" s="35">
        <f>6242+46</f>
        <v>6288</v>
      </c>
      <c r="E65" s="35">
        <v>66</v>
      </c>
      <c r="F65" s="35">
        <f>2360+18</f>
        <v>2378</v>
      </c>
      <c r="G65" s="35">
        <v>202</v>
      </c>
      <c r="H65" s="35">
        <f t="shared" si="3"/>
        <v>8934</v>
      </c>
      <c r="I65" s="36">
        <v>35.9</v>
      </c>
    </row>
    <row r="66" spans="1:9" ht="12.75">
      <c r="A66" s="5" t="s">
        <v>357</v>
      </c>
      <c r="B66" s="17">
        <v>47611456</v>
      </c>
      <c r="C66" s="6">
        <v>3113</v>
      </c>
      <c r="D66" s="7">
        <f>8361+46</f>
        <v>8407</v>
      </c>
      <c r="E66" s="7">
        <v>82</v>
      </c>
      <c r="F66" s="7">
        <f>3150+18</f>
        <v>3168</v>
      </c>
      <c r="G66" s="7">
        <v>266</v>
      </c>
      <c r="H66" s="7">
        <f t="shared" si="3"/>
        <v>11923</v>
      </c>
      <c r="I66" s="31">
        <v>46.5</v>
      </c>
    </row>
    <row r="67" spans="1:9" ht="12.75">
      <c r="A67" s="89" t="s">
        <v>358</v>
      </c>
      <c r="B67" s="19"/>
      <c r="C67" s="19"/>
      <c r="D67" s="19"/>
      <c r="E67" s="19"/>
      <c r="F67" s="19"/>
      <c r="G67" s="51"/>
      <c r="H67" s="119"/>
      <c r="I67" s="101"/>
    </row>
    <row r="68" spans="1:9" ht="12.75">
      <c r="A68" s="34" t="s">
        <v>359</v>
      </c>
      <c r="B68" s="121">
        <v>65990722</v>
      </c>
      <c r="C68" s="6">
        <v>3113</v>
      </c>
      <c r="D68" s="35">
        <f>4294+26</f>
        <v>4320</v>
      </c>
      <c r="E68" s="35">
        <v>41</v>
      </c>
      <c r="F68" s="35">
        <f>1619+9</f>
        <v>1628</v>
      </c>
      <c r="G68" s="96">
        <v>112</v>
      </c>
      <c r="H68" s="96">
        <f aca="true" t="shared" si="4" ref="H68:H78">+D68+E68+F68+G68</f>
        <v>6101</v>
      </c>
      <c r="I68" s="36">
        <v>25</v>
      </c>
    </row>
    <row r="69" spans="1:9" ht="12.75">
      <c r="A69" s="34" t="s">
        <v>360</v>
      </c>
      <c r="B69" s="121">
        <v>69781869</v>
      </c>
      <c r="C69" s="6">
        <v>3113</v>
      </c>
      <c r="D69" s="35">
        <f>10402+72</f>
        <v>10474</v>
      </c>
      <c r="E69" s="35">
        <v>25</v>
      </c>
      <c r="F69" s="35">
        <f>3900+26</f>
        <v>3926</v>
      </c>
      <c r="G69" s="35">
        <v>338</v>
      </c>
      <c r="H69" s="35">
        <f t="shared" si="4"/>
        <v>14763</v>
      </c>
      <c r="I69" s="36">
        <v>56</v>
      </c>
    </row>
    <row r="70" spans="1:9" ht="12.75">
      <c r="A70" s="34" t="s">
        <v>361</v>
      </c>
      <c r="B70" s="121">
        <v>44851987</v>
      </c>
      <c r="C70" s="6">
        <v>3113</v>
      </c>
      <c r="D70" s="35">
        <f>4320+26</f>
        <v>4346</v>
      </c>
      <c r="E70" s="35">
        <v>0</v>
      </c>
      <c r="F70" s="35">
        <f>1615+9</f>
        <v>1624</v>
      </c>
      <c r="G70" s="35">
        <v>100</v>
      </c>
      <c r="H70" s="35">
        <f t="shared" si="4"/>
        <v>6070</v>
      </c>
      <c r="I70" s="36">
        <v>26</v>
      </c>
    </row>
    <row r="71" spans="1:9" ht="12.75">
      <c r="A71" s="34" t="s">
        <v>362</v>
      </c>
      <c r="B71" s="121">
        <v>65993527</v>
      </c>
      <c r="C71" s="6">
        <v>3113</v>
      </c>
      <c r="D71" s="35">
        <v>20525</v>
      </c>
      <c r="E71" s="35">
        <v>156</v>
      </c>
      <c r="F71" s="35">
        <v>7714</v>
      </c>
      <c r="G71" s="35">
        <v>700</v>
      </c>
      <c r="H71" s="35">
        <f t="shared" si="4"/>
        <v>29095</v>
      </c>
      <c r="I71" s="36">
        <v>124.5</v>
      </c>
    </row>
    <row r="72" spans="1:9" ht="12.75">
      <c r="A72" s="34" t="s">
        <v>363</v>
      </c>
      <c r="B72" s="121">
        <v>70108391</v>
      </c>
      <c r="C72" s="6">
        <v>3113</v>
      </c>
      <c r="D72" s="35">
        <f>4645+26</f>
        <v>4671</v>
      </c>
      <c r="E72" s="35">
        <v>16</v>
      </c>
      <c r="F72" s="35">
        <f>1742+9</f>
        <v>1751</v>
      </c>
      <c r="G72" s="35">
        <v>101</v>
      </c>
      <c r="H72" s="35">
        <f t="shared" si="4"/>
        <v>6539</v>
      </c>
      <c r="I72" s="36">
        <v>27.5</v>
      </c>
    </row>
    <row r="73" spans="1:9" ht="12.75">
      <c r="A73" s="34" t="s">
        <v>364</v>
      </c>
      <c r="B73" s="121">
        <v>70107416</v>
      </c>
      <c r="C73" s="6">
        <v>3113</v>
      </c>
      <c r="D73" s="35">
        <f>4517+26</f>
        <v>4543</v>
      </c>
      <c r="E73" s="35">
        <v>5</v>
      </c>
      <c r="F73" s="35">
        <f>1694+9</f>
        <v>1703</v>
      </c>
      <c r="G73" s="35">
        <v>123</v>
      </c>
      <c r="H73" s="35">
        <f t="shared" si="4"/>
        <v>6374</v>
      </c>
      <c r="I73" s="36">
        <v>25</v>
      </c>
    </row>
    <row r="74" spans="1:9" ht="12.75">
      <c r="A74" s="34" t="s">
        <v>365</v>
      </c>
      <c r="B74" s="121">
        <v>69781761</v>
      </c>
      <c r="C74" s="6">
        <v>3113</v>
      </c>
      <c r="D74" s="35">
        <f>7189+46</f>
        <v>7235</v>
      </c>
      <c r="E74" s="35">
        <v>18</v>
      </c>
      <c r="F74" s="35">
        <f>2695+18</f>
        <v>2713</v>
      </c>
      <c r="G74" s="35">
        <v>210</v>
      </c>
      <c r="H74" s="35">
        <f t="shared" si="4"/>
        <v>10176</v>
      </c>
      <c r="I74" s="36">
        <v>40</v>
      </c>
    </row>
    <row r="75" spans="1:9" ht="12.75">
      <c r="A75" s="34" t="s">
        <v>366</v>
      </c>
      <c r="B75" s="121">
        <v>69781753</v>
      </c>
      <c r="C75" s="6">
        <v>3113</v>
      </c>
      <c r="D75" s="35">
        <f>5741+26</f>
        <v>5767</v>
      </c>
      <c r="E75" s="35">
        <v>0</v>
      </c>
      <c r="F75" s="35">
        <f>2149+9</f>
        <v>2158</v>
      </c>
      <c r="G75" s="35">
        <v>152</v>
      </c>
      <c r="H75" s="35">
        <f t="shared" si="4"/>
        <v>8077</v>
      </c>
      <c r="I75" s="36">
        <v>35</v>
      </c>
    </row>
    <row r="76" spans="1:9" ht="12.75">
      <c r="A76" s="34" t="s">
        <v>568</v>
      </c>
      <c r="B76" s="121">
        <v>69781893</v>
      </c>
      <c r="C76" s="6">
        <v>3113</v>
      </c>
      <c r="D76" s="35">
        <f>3966+26</f>
        <v>3992</v>
      </c>
      <c r="E76" s="35">
        <v>20</v>
      </c>
      <c r="F76" s="35">
        <f>1491+9</f>
        <v>1500</v>
      </c>
      <c r="G76" s="35">
        <v>88</v>
      </c>
      <c r="H76" s="35">
        <f t="shared" si="4"/>
        <v>5600</v>
      </c>
      <c r="I76" s="36">
        <v>21</v>
      </c>
    </row>
    <row r="77" spans="1:9" ht="12.75">
      <c r="A77" s="34" t="s">
        <v>367</v>
      </c>
      <c r="B77" s="121">
        <v>69781885</v>
      </c>
      <c r="C77" s="6">
        <v>3113</v>
      </c>
      <c r="D77" s="35">
        <v>3895</v>
      </c>
      <c r="E77" s="35">
        <v>30</v>
      </c>
      <c r="F77" s="35">
        <v>1470</v>
      </c>
      <c r="G77" s="35">
        <v>161</v>
      </c>
      <c r="H77" s="35">
        <f t="shared" si="4"/>
        <v>5556</v>
      </c>
      <c r="I77" s="36">
        <v>21.5</v>
      </c>
    </row>
    <row r="78" spans="1:9" ht="13.5" thickBot="1">
      <c r="A78" s="9" t="s">
        <v>569</v>
      </c>
      <c r="B78" s="10">
        <v>69781931</v>
      </c>
      <c r="C78" s="10">
        <v>3113</v>
      </c>
      <c r="D78" s="11">
        <f>4574+26</f>
        <v>4600</v>
      </c>
      <c r="E78" s="11">
        <v>0</v>
      </c>
      <c r="F78" s="11">
        <f>1713+9</f>
        <v>1722</v>
      </c>
      <c r="G78" s="11">
        <v>122</v>
      </c>
      <c r="H78" s="11">
        <f t="shared" si="4"/>
        <v>6444</v>
      </c>
      <c r="I78" s="117">
        <v>26</v>
      </c>
    </row>
    <row r="79" spans="1:9" ht="12.75" customHeight="1">
      <c r="A79" s="185" t="s">
        <v>11</v>
      </c>
      <c r="B79" s="187" t="s">
        <v>0</v>
      </c>
      <c r="C79" s="190" t="s">
        <v>17</v>
      </c>
      <c r="D79" s="187" t="s">
        <v>298</v>
      </c>
      <c r="E79" s="187"/>
      <c r="F79" s="187"/>
      <c r="G79" s="187"/>
      <c r="H79" s="187"/>
      <c r="I79" s="189"/>
    </row>
    <row r="80" spans="1:9" ht="26.25" thickBot="1">
      <c r="A80" s="186"/>
      <c r="B80" s="188"/>
      <c r="C80" s="191"/>
      <c r="D80" s="1" t="s">
        <v>2</v>
      </c>
      <c r="E80" s="1" t="s">
        <v>3</v>
      </c>
      <c r="F80" s="1" t="s">
        <v>4</v>
      </c>
      <c r="G80" s="1" t="s">
        <v>5</v>
      </c>
      <c r="H80" s="1" t="s">
        <v>6</v>
      </c>
      <c r="I80" s="2" t="s">
        <v>9</v>
      </c>
    </row>
    <row r="81" spans="1:9" ht="12.75">
      <c r="A81" s="34" t="s">
        <v>570</v>
      </c>
      <c r="B81" s="121">
        <v>69781907</v>
      </c>
      <c r="C81" s="6">
        <v>3113</v>
      </c>
      <c r="D81" s="35">
        <f>11215+61</f>
        <v>11276</v>
      </c>
      <c r="E81" s="35">
        <v>10</v>
      </c>
      <c r="F81" s="35">
        <f>4197+23</f>
        <v>4220</v>
      </c>
      <c r="G81" s="35">
        <v>305</v>
      </c>
      <c r="H81" s="35">
        <f>+D81+E81+F81+G81</f>
        <v>15811</v>
      </c>
      <c r="I81" s="36">
        <v>67</v>
      </c>
    </row>
    <row r="82" spans="1:9" ht="12.75">
      <c r="A82" s="34" t="s">
        <v>368</v>
      </c>
      <c r="B82" s="121">
        <v>70107661</v>
      </c>
      <c r="C82" s="6">
        <v>3113</v>
      </c>
      <c r="D82" s="35">
        <f>6023+26</f>
        <v>6049</v>
      </c>
      <c r="E82" s="35">
        <v>24</v>
      </c>
      <c r="F82" s="35">
        <f>2261+9</f>
        <v>2270</v>
      </c>
      <c r="G82" s="35">
        <v>143</v>
      </c>
      <c r="H82" s="35">
        <f>+D82+E82+F82+G82</f>
        <v>8486</v>
      </c>
      <c r="I82" s="36">
        <v>36.5</v>
      </c>
    </row>
    <row r="83" spans="1:9" ht="12.75">
      <c r="A83" s="34" t="s">
        <v>580</v>
      </c>
      <c r="B83" s="121">
        <v>69781745</v>
      </c>
      <c r="C83" s="6">
        <v>3113</v>
      </c>
      <c r="D83" s="35">
        <f>13134+72</f>
        <v>13206</v>
      </c>
      <c r="E83" s="35">
        <v>35</v>
      </c>
      <c r="F83" s="35">
        <f>4922+26</f>
        <v>4948</v>
      </c>
      <c r="G83" s="35">
        <v>447</v>
      </c>
      <c r="H83" s="35">
        <f>+D83+E83+F83+G83</f>
        <v>18636</v>
      </c>
      <c r="I83" s="36">
        <v>81</v>
      </c>
    </row>
    <row r="84" spans="1:9" ht="12.75">
      <c r="A84" s="34" t="s">
        <v>571</v>
      </c>
      <c r="B84" s="121">
        <v>69781915</v>
      </c>
      <c r="C84" s="6">
        <v>3113</v>
      </c>
      <c r="D84" s="35">
        <f>8458+61</f>
        <v>8519</v>
      </c>
      <c r="E84" s="35">
        <v>24</v>
      </c>
      <c r="F84" s="35">
        <f>3171+23</f>
        <v>3194</v>
      </c>
      <c r="G84" s="35">
        <v>271</v>
      </c>
      <c r="H84" s="35">
        <f>+D84+E84+F84+G84</f>
        <v>12008</v>
      </c>
      <c r="I84" s="36">
        <v>44</v>
      </c>
    </row>
    <row r="85" spans="1:9" ht="12.75">
      <c r="A85" s="34" t="s">
        <v>369</v>
      </c>
      <c r="B85" s="121">
        <v>69781877</v>
      </c>
      <c r="C85" s="6">
        <v>3113</v>
      </c>
      <c r="D85" s="7">
        <f>9820+72</f>
        <v>9892</v>
      </c>
      <c r="E85" s="7">
        <v>69</v>
      </c>
      <c r="F85" s="7">
        <f>3692+26</f>
        <v>3718</v>
      </c>
      <c r="G85" s="7">
        <v>267</v>
      </c>
      <c r="H85" s="7">
        <f>+D85+E85+F85+G85</f>
        <v>13946</v>
      </c>
      <c r="I85" s="36">
        <v>61</v>
      </c>
    </row>
    <row r="86" spans="1:9" ht="12.75">
      <c r="A86" s="122" t="s">
        <v>370</v>
      </c>
      <c r="B86" s="121"/>
      <c r="C86" s="29"/>
      <c r="D86" s="38"/>
      <c r="E86" s="119"/>
      <c r="F86" s="119"/>
      <c r="G86" s="119"/>
      <c r="H86" s="119"/>
      <c r="I86" s="123"/>
    </row>
    <row r="87" spans="1:9" ht="12.75">
      <c r="A87" s="34" t="s">
        <v>371</v>
      </c>
      <c r="B87" s="121">
        <v>48133809</v>
      </c>
      <c r="C87" s="6">
        <v>3113</v>
      </c>
      <c r="D87" s="96">
        <f>13576+95</f>
        <v>13671</v>
      </c>
      <c r="E87" s="96">
        <v>48</v>
      </c>
      <c r="F87" s="96">
        <f>5087+32</f>
        <v>5119</v>
      </c>
      <c r="G87" s="96">
        <v>420</v>
      </c>
      <c r="H87" s="96">
        <f aca="true" t="shared" si="5" ref="H87:H107">+D87+E87+F87+G87</f>
        <v>19258</v>
      </c>
      <c r="I87" s="36">
        <v>78</v>
      </c>
    </row>
    <row r="88" spans="1:9" ht="12.75">
      <c r="A88" s="34" t="s">
        <v>372</v>
      </c>
      <c r="B88" s="121">
        <v>48133825</v>
      </c>
      <c r="C88" s="6">
        <v>3113</v>
      </c>
      <c r="D88" s="35">
        <v>5927</v>
      </c>
      <c r="E88" s="35">
        <v>61</v>
      </c>
      <c r="F88" s="35">
        <v>2235</v>
      </c>
      <c r="G88" s="35">
        <v>148</v>
      </c>
      <c r="H88" s="35">
        <f t="shared" si="5"/>
        <v>8371</v>
      </c>
      <c r="I88" s="36">
        <v>36</v>
      </c>
    </row>
    <row r="89" spans="1:9" ht="12.75">
      <c r="A89" s="34" t="s">
        <v>373</v>
      </c>
      <c r="B89" s="121">
        <v>67774750</v>
      </c>
      <c r="C89" s="6">
        <v>3113</v>
      </c>
      <c r="D89" s="35">
        <v>0</v>
      </c>
      <c r="E89" s="35">
        <v>0</v>
      </c>
      <c r="F89" s="35">
        <v>0</v>
      </c>
      <c r="G89" s="35">
        <v>0</v>
      </c>
      <c r="H89" s="35">
        <f t="shared" si="5"/>
        <v>0</v>
      </c>
      <c r="I89" s="36">
        <v>0</v>
      </c>
    </row>
    <row r="90" spans="1:9" ht="12.75">
      <c r="A90" s="34" t="s">
        <v>374</v>
      </c>
      <c r="B90" s="121">
        <v>63834341</v>
      </c>
      <c r="C90" s="6">
        <v>3113</v>
      </c>
      <c r="D90" s="35">
        <f>7218+46</f>
        <v>7264</v>
      </c>
      <c r="E90" s="35">
        <v>38</v>
      </c>
      <c r="F90" s="35">
        <f>2710+18</f>
        <v>2728</v>
      </c>
      <c r="G90" s="35">
        <v>220</v>
      </c>
      <c r="H90" s="35">
        <f t="shared" si="5"/>
        <v>10250</v>
      </c>
      <c r="I90" s="36">
        <v>41.5</v>
      </c>
    </row>
    <row r="91" spans="1:9" ht="12.75">
      <c r="A91" s="34" t="s">
        <v>375</v>
      </c>
      <c r="B91" s="121">
        <v>48133833</v>
      </c>
      <c r="C91" s="6">
        <v>3113</v>
      </c>
      <c r="D91" s="35">
        <f>9033+46</f>
        <v>9079</v>
      </c>
      <c r="E91" s="35">
        <v>100</v>
      </c>
      <c r="F91" s="35">
        <f>3409+18</f>
        <v>3427</v>
      </c>
      <c r="G91" s="35">
        <v>334</v>
      </c>
      <c r="H91" s="35">
        <f t="shared" si="5"/>
        <v>12940</v>
      </c>
      <c r="I91" s="36">
        <v>52.5</v>
      </c>
    </row>
    <row r="92" spans="1:9" ht="12.75">
      <c r="A92" s="34" t="s">
        <v>376</v>
      </c>
      <c r="B92" s="121">
        <v>49624521</v>
      </c>
      <c r="C92" s="6">
        <v>3113</v>
      </c>
      <c r="D92" s="35">
        <f>9143+26</f>
        <v>9169</v>
      </c>
      <c r="E92" s="35">
        <v>95</v>
      </c>
      <c r="F92" s="35">
        <f>3455+9</f>
        <v>3464</v>
      </c>
      <c r="G92" s="35">
        <v>266</v>
      </c>
      <c r="H92" s="35">
        <f t="shared" si="5"/>
        <v>12994</v>
      </c>
      <c r="I92" s="36">
        <v>55.5</v>
      </c>
    </row>
    <row r="93" spans="1:9" ht="12.75">
      <c r="A93" s="34" t="s">
        <v>377</v>
      </c>
      <c r="B93" s="121">
        <v>48133850</v>
      </c>
      <c r="C93" s="6">
        <v>3113</v>
      </c>
      <c r="D93" s="35">
        <f>9625+46</f>
        <v>9671</v>
      </c>
      <c r="E93" s="35">
        <v>135</v>
      </c>
      <c r="F93" s="35">
        <f>3642+18</f>
        <v>3660</v>
      </c>
      <c r="G93" s="35">
        <v>266</v>
      </c>
      <c r="H93" s="35">
        <f t="shared" si="5"/>
        <v>13732</v>
      </c>
      <c r="I93" s="36">
        <v>55</v>
      </c>
    </row>
    <row r="94" spans="1:9" ht="12.75">
      <c r="A94" s="34" t="s">
        <v>572</v>
      </c>
      <c r="B94" s="121">
        <v>68407122</v>
      </c>
      <c r="C94" s="6">
        <v>3113</v>
      </c>
      <c r="D94" s="35">
        <f>6880+61</f>
        <v>6941</v>
      </c>
      <c r="E94" s="35">
        <v>90</v>
      </c>
      <c r="F94" s="35">
        <f>2602+23</f>
        <v>2625</v>
      </c>
      <c r="G94" s="35">
        <v>184</v>
      </c>
      <c r="H94" s="35">
        <f t="shared" si="5"/>
        <v>9840</v>
      </c>
      <c r="I94" s="36">
        <v>39</v>
      </c>
    </row>
    <row r="95" spans="1:9" ht="12.75">
      <c r="A95" s="34" t="s">
        <v>378</v>
      </c>
      <c r="B95" s="121">
        <v>48133795</v>
      </c>
      <c r="C95" s="6">
        <v>3113</v>
      </c>
      <c r="D95" s="35">
        <f>9469+72</f>
        <v>9541</v>
      </c>
      <c r="E95" s="35">
        <v>90</v>
      </c>
      <c r="F95" s="35">
        <f>3575+26</f>
        <v>3601</v>
      </c>
      <c r="G95" s="35">
        <v>323</v>
      </c>
      <c r="H95" s="35">
        <f t="shared" si="5"/>
        <v>13555</v>
      </c>
      <c r="I95" s="36">
        <v>54</v>
      </c>
    </row>
    <row r="96" spans="1:9" ht="12.75">
      <c r="A96" s="34" t="s">
        <v>379</v>
      </c>
      <c r="B96" s="121">
        <v>67798543</v>
      </c>
      <c r="C96" s="6">
        <v>3113</v>
      </c>
      <c r="D96" s="35">
        <f>8138+46</f>
        <v>8184</v>
      </c>
      <c r="E96" s="35">
        <v>2</v>
      </c>
      <c r="F96" s="35">
        <f>3046+18</f>
        <v>3064</v>
      </c>
      <c r="G96" s="35">
        <v>227</v>
      </c>
      <c r="H96" s="35">
        <f t="shared" si="5"/>
        <v>11477</v>
      </c>
      <c r="I96" s="36">
        <v>49</v>
      </c>
    </row>
    <row r="97" spans="1:9" ht="12.75">
      <c r="A97" s="34" t="s">
        <v>380</v>
      </c>
      <c r="B97" s="121">
        <v>48133892</v>
      </c>
      <c r="C97" s="6">
        <v>3113</v>
      </c>
      <c r="D97" s="35">
        <f>16982+84</f>
        <v>17066</v>
      </c>
      <c r="E97" s="35">
        <v>232</v>
      </c>
      <c r="F97" s="35">
        <f>6435+32</f>
        <v>6467</v>
      </c>
      <c r="G97" s="35">
        <v>496</v>
      </c>
      <c r="H97" s="35">
        <f t="shared" si="5"/>
        <v>24261</v>
      </c>
      <c r="I97" s="36">
        <v>90</v>
      </c>
    </row>
    <row r="98" spans="1:9" ht="12.75">
      <c r="A98" s="34" t="s">
        <v>381</v>
      </c>
      <c r="B98" s="121">
        <v>48133906</v>
      </c>
      <c r="C98" s="6">
        <v>3113</v>
      </c>
      <c r="D98" s="35">
        <f>6904+35</f>
        <v>6939</v>
      </c>
      <c r="E98" s="35">
        <v>100</v>
      </c>
      <c r="F98" s="35">
        <f>2616+14</f>
        <v>2630</v>
      </c>
      <c r="G98" s="35">
        <v>186</v>
      </c>
      <c r="H98" s="35">
        <f t="shared" si="5"/>
        <v>9855</v>
      </c>
      <c r="I98" s="36">
        <v>39</v>
      </c>
    </row>
    <row r="99" spans="1:9" ht="12.75">
      <c r="A99" s="5" t="s">
        <v>573</v>
      </c>
      <c r="B99" s="17">
        <v>49624539</v>
      </c>
      <c r="C99" s="6">
        <v>3113</v>
      </c>
      <c r="D99" s="7">
        <f>3816+26</f>
        <v>3842</v>
      </c>
      <c r="E99" s="7">
        <v>80</v>
      </c>
      <c r="F99" s="7">
        <f>1456+9</f>
        <v>1465</v>
      </c>
      <c r="G99" s="7">
        <v>112</v>
      </c>
      <c r="H99" s="35">
        <f t="shared" si="5"/>
        <v>5499</v>
      </c>
      <c r="I99" s="31">
        <v>21</v>
      </c>
    </row>
    <row r="100" spans="1:9" ht="12.75">
      <c r="A100" s="110" t="s">
        <v>382</v>
      </c>
      <c r="B100" s="124">
        <v>48133761</v>
      </c>
      <c r="C100" s="6">
        <v>3113</v>
      </c>
      <c r="D100" s="96">
        <f>8951+72</f>
        <v>9023</v>
      </c>
      <c r="E100" s="96">
        <v>136</v>
      </c>
      <c r="F100" s="96">
        <f>3395+26</f>
        <v>3421</v>
      </c>
      <c r="G100" s="96">
        <v>279</v>
      </c>
      <c r="H100" s="35">
        <f t="shared" si="5"/>
        <v>12859</v>
      </c>
      <c r="I100" s="125">
        <v>50.5</v>
      </c>
    </row>
    <row r="101" spans="1:9" ht="12.75">
      <c r="A101" s="34" t="s">
        <v>383</v>
      </c>
      <c r="B101" s="121">
        <v>60434651</v>
      </c>
      <c r="C101" s="6">
        <v>3113</v>
      </c>
      <c r="D101" s="35">
        <f>6979+46</f>
        <v>7025</v>
      </c>
      <c r="E101" s="35">
        <v>17</v>
      </c>
      <c r="F101" s="35">
        <f>2617+18</f>
        <v>2635</v>
      </c>
      <c r="G101" s="35">
        <v>236</v>
      </c>
      <c r="H101" s="35">
        <f t="shared" si="5"/>
        <v>9913</v>
      </c>
      <c r="I101" s="36">
        <v>35.5</v>
      </c>
    </row>
    <row r="102" spans="1:9" ht="12.75">
      <c r="A102" s="34" t="s">
        <v>384</v>
      </c>
      <c r="B102" s="121">
        <v>48133787</v>
      </c>
      <c r="C102" s="6">
        <v>3113</v>
      </c>
      <c r="D102" s="35">
        <f>8923+46</f>
        <v>8969</v>
      </c>
      <c r="E102" s="35">
        <v>22</v>
      </c>
      <c r="F102" s="35">
        <f>3344+18</f>
        <v>3362</v>
      </c>
      <c r="G102" s="35">
        <v>248</v>
      </c>
      <c r="H102" s="35">
        <f t="shared" si="5"/>
        <v>12601</v>
      </c>
      <c r="I102" s="36">
        <v>53</v>
      </c>
    </row>
    <row r="103" spans="1:9" ht="12.75">
      <c r="A103" s="34" t="s">
        <v>385</v>
      </c>
      <c r="B103" s="121">
        <v>48133779</v>
      </c>
      <c r="C103" s="6">
        <v>3113</v>
      </c>
      <c r="D103" s="35">
        <f>10931+84</f>
        <v>11015</v>
      </c>
      <c r="E103" s="35">
        <v>180</v>
      </c>
      <c r="F103" s="35">
        <f>4138+32</f>
        <v>4170</v>
      </c>
      <c r="G103" s="35">
        <v>251</v>
      </c>
      <c r="H103" s="35">
        <f t="shared" si="5"/>
        <v>15616</v>
      </c>
      <c r="I103" s="36">
        <v>61</v>
      </c>
    </row>
    <row r="104" spans="1:9" ht="12.75">
      <c r="A104" s="34" t="s">
        <v>386</v>
      </c>
      <c r="B104" s="121">
        <v>48133817</v>
      </c>
      <c r="C104" s="6">
        <v>3113</v>
      </c>
      <c r="D104" s="35">
        <f>4944+26</f>
        <v>4970</v>
      </c>
      <c r="E104" s="35">
        <v>80</v>
      </c>
      <c r="F104" s="35">
        <f>1888+9</f>
        <v>1897</v>
      </c>
      <c r="G104" s="35">
        <v>130</v>
      </c>
      <c r="H104" s="35">
        <f t="shared" si="5"/>
        <v>7077</v>
      </c>
      <c r="I104" s="36">
        <v>32.5</v>
      </c>
    </row>
    <row r="105" spans="1:9" ht="12.75">
      <c r="A105" s="34" t="s">
        <v>387</v>
      </c>
      <c r="B105" s="121">
        <v>49624474</v>
      </c>
      <c r="C105" s="6">
        <v>3113</v>
      </c>
      <c r="D105" s="35">
        <f>5716+26</f>
        <v>5742</v>
      </c>
      <c r="E105" s="35">
        <v>26</v>
      </c>
      <c r="F105" s="35">
        <f>2147+9</f>
        <v>2156</v>
      </c>
      <c r="G105" s="35">
        <v>141</v>
      </c>
      <c r="H105" s="35">
        <f t="shared" si="5"/>
        <v>8065</v>
      </c>
      <c r="I105" s="36">
        <v>34</v>
      </c>
    </row>
    <row r="106" spans="1:9" ht="12.75">
      <c r="A106" s="34" t="s">
        <v>388</v>
      </c>
      <c r="B106" s="121">
        <v>70106576</v>
      </c>
      <c r="C106" s="6">
        <v>3113</v>
      </c>
      <c r="D106" s="35">
        <f>3850+26</f>
        <v>3876</v>
      </c>
      <c r="E106" s="35">
        <v>38</v>
      </c>
      <c r="F106" s="35">
        <f>1453+9</f>
        <v>1462</v>
      </c>
      <c r="G106" s="35">
        <v>89</v>
      </c>
      <c r="H106" s="35">
        <f t="shared" si="5"/>
        <v>5465</v>
      </c>
      <c r="I106" s="36">
        <v>22</v>
      </c>
    </row>
    <row r="107" spans="1:9" ht="12.75">
      <c r="A107" s="5" t="s">
        <v>389</v>
      </c>
      <c r="B107" s="17">
        <v>48133914</v>
      </c>
      <c r="C107" s="6">
        <v>3113</v>
      </c>
      <c r="D107" s="7">
        <f>6619+46</f>
        <v>6665</v>
      </c>
      <c r="E107" s="7">
        <v>40</v>
      </c>
      <c r="F107" s="7">
        <f>2488+18</f>
        <v>2506</v>
      </c>
      <c r="G107" s="7">
        <v>163</v>
      </c>
      <c r="H107" s="7">
        <f t="shared" si="5"/>
        <v>9374</v>
      </c>
      <c r="I107" s="31">
        <v>40.5</v>
      </c>
    </row>
    <row r="108" spans="1:9" ht="12.75">
      <c r="A108" s="89" t="s">
        <v>390</v>
      </c>
      <c r="B108" s="19"/>
      <c r="C108" s="19"/>
      <c r="D108" s="19"/>
      <c r="E108" s="19"/>
      <c r="F108" s="19"/>
      <c r="G108" s="51"/>
      <c r="H108" s="119"/>
      <c r="I108" s="101"/>
    </row>
    <row r="109" spans="1:9" ht="12.75">
      <c r="A109" s="34" t="s">
        <v>391</v>
      </c>
      <c r="B109" s="121">
        <v>62930958</v>
      </c>
      <c r="C109" s="6">
        <v>3113</v>
      </c>
      <c r="D109" s="35">
        <f>7409+46</f>
        <v>7455</v>
      </c>
      <c r="E109" s="35">
        <v>55</v>
      </c>
      <c r="F109" s="35">
        <f>2789+18</f>
        <v>2807</v>
      </c>
      <c r="G109" s="96">
        <v>198</v>
      </c>
      <c r="H109" s="96">
        <f aca="true" t="shared" si="6" ref="H109:H116">+D109+E109+F109+G109</f>
        <v>10515</v>
      </c>
      <c r="I109" s="36">
        <v>39.5</v>
      </c>
    </row>
    <row r="110" spans="1:9" ht="12.75">
      <c r="A110" s="34" t="s">
        <v>392</v>
      </c>
      <c r="B110" s="121">
        <v>61389820</v>
      </c>
      <c r="C110" s="6">
        <v>3113</v>
      </c>
      <c r="D110" s="35">
        <f>6596+35</f>
        <v>6631</v>
      </c>
      <c r="E110" s="35">
        <v>50</v>
      </c>
      <c r="F110" s="35">
        <f>2487+14</f>
        <v>2501</v>
      </c>
      <c r="G110" s="35">
        <v>186</v>
      </c>
      <c r="H110" s="35">
        <f t="shared" si="6"/>
        <v>9368</v>
      </c>
      <c r="I110" s="36">
        <v>37.5</v>
      </c>
    </row>
    <row r="111" spans="1:9" ht="12.75">
      <c r="A111" s="34" t="s">
        <v>393</v>
      </c>
      <c r="B111" s="121">
        <v>62931008</v>
      </c>
      <c r="C111" s="6">
        <v>3113</v>
      </c>
      <c r="D111" s="35">
        <f>7065+26</f>
        <v>7091</v>
      </c>
      <c r="E111" s="35">
        <v>26</v>
      </c>
      <c r="F111" s="35">
        <f>2646+9</f>
        <v>2655</v>
      </c>
      <c r="G111" s="35">
        <v>183</v>
      </c>
      <c r="H111" s="35">
        <f t="shared" si="6"/>
        <v>9955</v>
      </c>
      <c r="I111" s="36">
        <v>40</v>
      </c>
    </row>
    <row r="112" spans="1:9" ht="12.75">
      <c r="A112" s="34" t="s">
        <v>394</v>
      </c>
      <c r="B112" s="121">
        <v>62931016</v>
      </c>
      <c r="C112" s="6">
        <v>3113</v>
      </c>
      <c r="D112" s="35">
        <f>6139+35</f>
        <v>6174</v>
      </c>
      <c r="E112" s="35">
        <v>25</v>
      </c>
      <c r="F112" s="35">
        <f>2298+14</f>
        <v>2312</v>
      </c>
      <c r="G112" s="35">
        <v>161</v>
      </c>
      <c r="H112" s="35">
        <f t="shared" si="6"/>
        <v>8672</v>
      </c>
      <c r="I112" s="36">
        <v>32.5</v>
      </c>
    </row>
    <row r="113" spans="1:9" ht="12.75">
      <c r="A113" s="34" t="s">
        <v>395</v>
      </c>
      <c r="B113" s="121">
        <v>61389838</v>
      </c>
      <c r="C113" s="6">
        <v>3113</v>
      </c>
      <c r="D113" s="35">
        <f>7718+46</f>
        <v>7764</v>
      </c>
      <c r="E113" s="35">
        <v>60</v>
      </c>
      <c r="F113" s="35">
        <f>2909+18</f>
        <v>2927</v>
      </c>
      <c r="G113" s="35">
        <v>225</v>
      </c>
      <c r="H113" s="35">
        <f t="shared" si="6"/>
        <v>10976</v>
      </c>
      <c r="I113" s="36">
        <v>42</v>
      </c>
    </row>
    <row r="114" spans="1:9" ht="12.75">
      <c r="A114" s="34" t="s">
        <v>396</v>
      </c>
      <c r="B114" s="121">
        <v>70997365</v>
      </c>
      <c r="C114" s="6">
        <v>3113</v>
      </c>
      <c r="D114" s="35">
        <v>1529</v>
      </c>
      <c r="E114" s="35">
        <v>0</v>
      </c>
      <c r="F114" s="35">
        <v>573</v>
      </c>
      <c r="G114" s="35">
        <v>58</v>
      </c>
      <c r="H114" s="35">
        <f t="shared" si="6"/>
        <v>2160</v>
      </c>
      <c r="I114" s="36">
        <v>7.9</v>
      </c>
    </row>
    <row r="115" spans="1:9" ht="12.75" customHeight="1">
      <c r="A115" s="34" t="s">
        <v>581</v>
      </c>
      <c r="B115" s="121">
        <v>62930991</v>
      </c>
      <c r="C115" s="6">
        <v>3113</v>
      </c>
      <c r="D115" s="35">
        <f>10781+46</f>
        <v>10827</v>
      </c>
      <c r="E115" s="35">
        <v>16</v>
      </c>
      <c r="F115" s="35">
        <f>4038+18</f>
        <v>4056</v>
      </c>
      <c r="G115" s="35">
        <v>257</v>
      </c>
      <c r="H115" s="35">
        <f t="shared" si="6"/>
        <v>15156</v>
      </c>
      <c r="I115" s="36">
        <v>63.6</v>
      </c>
    </row>
    <row r="116" spans="1:9" ht="12.75" customHeight="1" thickBot="1">
      <c r="A116" s="9" t="s">
        <v>397</v>
      </c>
      <c r="B116" s="18">
        <v>60435216</v>
      </c>
      <c r="C116" s="10">
        <v>3113</v>
      </c>
      <c r="D116" s="11">
        <f>12092+61</f>
        <v>12153</v>
      </c>
      <c r="E116" s="11">
        <v>78</v>
      </c>
      <c r="F116" s="11">
        <f>4547+23</f>
        <v>4570</v>
      </c>
      <c r="G116" s="11">
        <v>323</v>
      </c>
      <c r="H116" s="11">
        <f t="shared" si="6"/>
        <v>17124</v>
      </c>
      <c r="I116" s="117">
        <v>72</v>
      </c>
    </row>
    <row r="117" spans="1:9" ht="12.75" customHeight="1" thickBot="1">
      <c r="A117" s="29"/>
      <c r="B117" s="29"/>
      <c r="C117" s="29"/>
      <c r="D117" s="32"/>
      <c r="E117" s="32"/>
      <c r="F117" s="32"/>
      <c r="G117" s="32"/>
      <c r="H117" s="32"/>
      <c r="I117" s="33"/>
    </row>
    <row r="118" spans="1:9" ht="12.75" customHeight="1">
      <c r="A118" s="185" t="s">
        <v>11</v>
      </c>
      <c r="B118" s="187" t="s">
        <v>0</v>
      </c>
      <c r="C118" s="190" t="s">
        <v>17</v>
      </c>
      <c r="D118" s="187" t="s">
        <v>298</v>
      </c>
      <c r="E118" s="187"/>
      <c r="F118" s="187"/>
      <c r="G118" s="187"/>
      <c r="H118" s="187"/>
      <c r="I118" s="189"/>
    </row>
    <row r="119" spans="1:9" ht="26.25" thickBot="1">
      <c r="A119" s="186"/>
      <c r="B119" s="188"/>
      <c r="C119" s="191"/>
      <c r="D119" s="1" t="s">
        <v>2</v>
      </c>
      <c r="E119" s="1" t="s">
        <v>3</v>
      </c>
      <c r="F119" s="1" t="s">
        <v>4</v>
      </c>
      <c r="G119" s="1" t="s">
        <v>5</v>
      </c>
      <c r="H119" s="1" t="s">
        <v>6</v>
      </c>
      <c r="I119" s="2" t="s">
        <v>9</v>
      </c>
    </row>
    <row r="120" spans="1:9" ht="12.75">
      <c r="A120" s="126" t="s">
        <v>398</v>
      </c>
      <c r="B120" s="19"/>
      <c r="C120" s="19"/>
      <c r="D120" s="19"/>
      <c r="E120" s="19"/>
      <c r="F120" s="19"/>
      <c r="G120" s="19"/>
      <c r="H120" s="19"/>
      <c r="I120" s="101"/>
    </row>
    <row r="121" spans="1:9" ht="12.75">
      <c r="A121" s="34" t="s">
        <v>399</v>
      </c>
      <c r="B121" s="121">
        <v>60433256</v>
      </c>
      <c r="C121" s="6">
        <v>3113</v>
      </c>
      <c r="D121" s="35">
        <f>8421+46</f>
        <v>8467</v>
      </c>
      <c r="E121" s="35">
        <v>43</v>
      </c>
      <c r="F121" s="35">
        <f>3161+18</f>
        <v>3179</v>
      </c>
      <c r="G121" s="35">
        <v>218</v>
      </c>
      <c r="H121" s="35">
        <f aca="true" t="shared" si="7" ref="H121:H140">+D121+E121+F121+G121</f>
        <v>11907</v>
      </c>
      <c r="I121" s="36">
        <v>49.5</v>
      </c>
    </row>
    <row r="122" spans="1:9" ht="12.75">
      <c r="A122" s="34" t="s">
        <v>400</v>
      </c>
      <c r="B122" s="121">
        <v>60433345</v>
      </c>
      <c r="C122" s="6">
        <v>3113</v>
      </c>
      <c r="D122" s="35">
        <f>12400+61</f>
        <v>12461</v>
      </c>
      <c r="E122" s="35">
        <v>25</v>
      </c>
      <c r="F122" s="35">
        <f>4642+23</f>
        <v>4665</v>
      </c>
      <c r="G122" s="35">
        <v>398</v>
      </c>
      <c r="H122" s="35">
        <f t="shared" si="7"/>
        <v>17549</v>
      </c>
      <c r="I122" s="36">
        <v>72</v>
      </c>
    </row>
    <row r="123" spans="1:9" ht="12.75">
      <c r="A123" s="34" t="s">
        <v>401</v>
      </c>
      <c r="B123" s="121">
        <v>60433281</v>
      </c>
      <c r="C123" s="6">
        <v>3113</v>
      </c>
      <c r="D123" s="35">
        <f>8180+46</f>
        <v>8226</v>
      </c>
      <c r="E123" s="35">
        <v>112</v>
      </c>
      <c r="F123" s="35">
        <f>3099+18</f>
        <v>3117</v>
      </c>
      <c r="G123" s="35">
        <v>191</v>
      </c>
      <c r="H123" s="35">
        <f t="shared" si="7"/>
        <v>11646</v>
      </c>
      <c r="I123" s="36">
        <v>51.5</v>
      </c>
    </row>
    <row r="124" spans="1:9" ht="12.75">
      <c r="A124" s="34" t="s">
        <v>402</v>
      </c>
      <c r="B124" s="121">
        <v>60433302</v>
      </c>
      <c r="C124" s="6">
        <v>3113</v>
      </c>
      <c r="D124" s="35">
        <f>9707+46</f>
        <v>9753</v>
      </c>
      <c r="E124" s="35">
        <v>115</v>
      </c>
      <c r="F124" s="35">
        <f>3669+18</f>
        <v>3687</v>
      </c>
      <c r="G124" s="35">
        <v>257</v>
      </c>
      <c r="H124" s="35">
        <f t="shared" si="7"/>
        <v>13812</v>
      </c>
      <c r="I124" s="36">
        <v>55.8</v>
      </c>
    </row>
    <row r="125" spans="1:9" ht="12.75">
      <c r="A125" s="34" t="s">
        <v>403</v>
      </c>
      <c r="B125" s="121">
        <v>60433337</v>
      </c>
      <c r="C125" s="6">
        <v>3113</v>
      </c>
      <c r="D125" s="35">
        <f>13250+61</f>
        <v>13311</v>
      </c>
      <c r="E125" s="35">
        <v>120</v>
      </c>
      <c r="F125" s="35">
        <f>4994+23</f>
        <v>5017</v>
      </c>
      <c r="G125" s="35">
        <v>341</v>
      </c>
      <c r="H125" s="35">
        <f t="shared" si="7"/>
        <v>18789</v>
      </c>
      <c r="I125" s="36">
        <v>77.2</v>
      </c>
    </row>
    <row r="126" spans="1:9" ht="12.75">
      <c r="A126" s="34" t="s">
        <v>404</v>
      </c>
      <c r="B126" s="121">
        <v>60433299</v>
      </c>
      <c r="C126" s="6">
        <v>3113</v>
      </c>
      <c r="D126" s="35">
        <f>8338+61</f>
        <v>8399</v>
      </c>
      <c r="E126" s="35">
        <v>115</v>
      </c>
      <c r="F126" s="35">
        <f>3163+20</f>
        <v>3183</v>
      </c>
      <c r="G126" s="35">
        <v>242</v>
      </c>
      <c r="H126" s="35">
        <f t="shared" si="7"/>
        <v>11939</v>
      </c>
      <c r="I126" s="36">
        <v>48</v>
      </c>
    </row>
    <row r="127" spans="1:9" ht="12.75">
      <c r="A127" s="34" t="s">
        <v>405</v>
      </c>
      <c r="B127" s="121">
        <v>60433264</v>
      </c>
      <c r="C127" s="6">
        <v>3113</v>
      </c>
      <c r="D127" s="35">
        <f>5332+35</f>
        <v>5367</v>
      </c>
      <c r="E127" s="35">
        <v>39</v>
      </c>
      <c r="F127" s="35">
        <f>2009+14</f>
        <v>2023</v>
      </c>
      <c r="G127" s="35">
        <v>147</v>
      </c>
      <c r="H127" s="35">
        <f t="shared" si="7"/>
        <v>7576</v>
      </c>
      <c r="I127" s="36">
        <v>32</v>
      </c>
    </row>
    <row r="128" spans="1:9" ht="12.75">
      <c r="A128" s="34" t="s">
        <v>406</v>
      </c>
      <c r="B128" s="121">
        <v>60461811</v>
      </c>
      <c r="C128" s="6">
        <v>3113</v>
      </c>
      <c r="D128" s="35">
        <f>8254+35</f>
        <v>8289</v>
      </c>
      <c r="E128" s="35">
        <v>137</v>
      </c>
      <c r="F128" s="35">
        <f>3126+14</f>
        <v>3140</v>
      </c>
      <c r="G128" s="35">
        <v>216</v>
      </c>
      <c r="H128" s="35">
        <f t="shared" si="7"/>
        <v>11782</v>
      </c>
      <c r="I128" s="36">
        <v>46.7</v>
      </c>
    </row>
    <row r="129" spans="1:9" ht="12.75">
      <c r="A129" s="34" t="s">
        <v>407</v>
      </c>
      <c r="B129" s="121">
        <v>60433230</v>
      </c>
      <c r="C129" s="6">
        <v>3113</v>
      </c>
      <c r="D129" s="35">
        <f>6549+38</f>
        <v>6587</v>
      </c>
      <c r="E129" s="35">
        <v>29</v>
      </c>
      <c r="F129" s="35">
        <f>2456+14</f>
        <v>2470</v>
      </c>
      <c r="G129" s="35">
        <v>127</v>
      </c>
      <c r="H129" s="35">
        <f t="shared" si="7"/>
        <v>9213</v>
      </c>
      <c r="I129" s="36">
        <v>38</v>
      </c>
    </row>
    <row r="130" spans="1:9" ht="12.75">
      <c r="A130" s="34" t="s">
        <v>408</v>
      </c>
      <c r="B130" s="121">
        <v>60461896</v>
      </c>
      <c r="C130" s="6">
        <v>3113</v>
      </c>
      <c r="D130" s="35">
        <f>7020+35</f>
        <v>7055</v>
      </c>
      <c r="E130" s="35">
        <v>45</v>
      </c>
      <c r="F130" s="35">
        <f>2638+14</f>
        <v>2652</v>
      </c>
      <c r="G130" s="35">
        <v>198</v>
      </c>
      <c r="H130" s="35">
        <f t="shared" si="7"/>
        <v>9950</v>
      </c>
      <c r="I130" s="36">
        <v>39.5</v>
      </c>
    </row>
    <row r="131" spans="1:9" ht="12.75">
      <c r="A131" s="34" t="s">
        <v>409</v>
      </c>
      <c r="B131" s="121">
        <v>60461845</v>
      </c>
      <c r="C131" s="6">
        <v>3113</v>
      </c>
      <c r="D131" s="35">
        <f>6740+46</f>
        <v>6786</v>
      </c>
      <c r="E131" s="35">
        <v>106</v>
      </c>
      <c r="F131" s="35">
        <f>2555+18</f>
        <v>2573</v>
      </c>
      <c r="G131" s="35">
        <v>179</v>
      </c>
      <c r="H131" s="35">
        <f t="shared" si="7"/>
        <v>9644</v>
      </c>
      <c r="I131" s="36">
        <v>38</v>
      </c>
    </row>
    <row r="132" spans="1:9" ht="12.75">
      <c r="A132" s="34" t="s">
        <v>410</v>
      </c>
      <c r="B132" s="121">
        <v>60433248</v>
      </c>
      <c r="C132" s="6">
        <v>3113</v>
      </c>
      <c r="D132" s="35">
        <f>7381+46</f>
        <v>7427</v>
      </c>
      <c r="E132" s="35">
        <v>44</v>
      </c>
      <c r="F132" s="35">
        <f>2774+18</f>
        <v>2792</v>
      </c>
      <c r="G132" s="35">
        <v>197</v>
      </c>
      <c r="H132" s="35">
        <f t="shared" si="7"/>
        <v>10460</v>
      </c>
      <c r="I132" s="36">
        <v>39.5</v>
      </c>
    </row>
    <row r="133" spans="1:9" ht="12.75">
      <c r="A133" s="34" t="s">
        <v>411</v>
      </c>
      <c r="B133" s="121">
        <v>60433353</v>
      </c>
      <c r="C133" s="6">
        <v>3113</v>
      </c>
      <c r="D133" s="35">
        <f>4191+26</f>
        <v>4217</v>
      </c>
      <c r="E133" s="35">
        <v>36</v>
      </c>
      <c r="F133" s="35">
        <f>1579+9</f>
        <v>1588</v>
      </c>
      <c r="G133" s="35">
        <v>113</v>
      </c>
      <c r="H133" s="35">
        <f t="shared" si="7"/>
        <v>5954</v>
      </c>
      <c r="I133" s="36">
        <v>23.5</v>
      </c>
    </row>
    <row r="134" spans="1:9" ht="12.75">
      <c r="A134" s="34" t="s">
        <v>412</v>
      </c>
      <c r="B134" s="121">
        <v>70970190</v>
      </c>
      <c r="C134" s="6">
        <v>3113</v>
      </c>
      <c r="D134" s="35">
        <f>4034+26</f>
        <v>4060</v>
      </c>
      <c r="E134" s="35">
        <v>30</v>
      </c>
      <c r="F134" s="35">
        <f>1519+9</f>
        <v>1528</v>
      </c>
      <c r="G134" s="35">
        <v>123</v>
      </c>
      <c r="H134" s="35">
        <f t="shared" si="7"/>
        <v>5741</v>
      </c>
      <c r="I134" s="36">
        <v>23.5</v>
      </c>
    </row>
    <row r="135" spans="1:9" ht="12.75">
      <c r="A135" s="34" t="s">
        <v>413</v>
      </c>
      <c r="B135" s="121">
        <v>60433329</v>
      </c>
      <c r="C135" s="6">
        <v>3113</v>
      </c>
      <c r="D135" s="35">
        <f>11097+46</f>
        <v>11143</v>
      </c>
      <c r="E135" s="35">
        <v>18</v>
      </c>
      <c r="F135" s="35">
        <f>4153+18</f>
        <v>4171</v>
      </c>
      <c r="G135" s="35">
        <v>258</v>
      </c>
      <c r="H135" s="35">
        <f t="shared" si="7"/>
        <v>15590</v>
      </c>
      <c r="I135" s="36">
        <v>62.5</v>
      </c>
    </row>
    <row r="136" spans="1:9" ht="12.75">
      <c r="A136" s="34" t="s">
        <v>414</v>
      </c>
      <c r="B136" s="121">
        <v>70930716</v>
      </c>
      <c r="C136" s="6">
        <v>3113</v>
      </c>
      <c r="D136" s="35">
        <f>5494+26</f>
        <v>5520</v>
      </c>
      <c r="E136" s="35">
        <v>10</v>
      </c>
      <c r="F136" s="35">
        <f>2058+9</f>
        <v>2067</v>
      </c>
      <c r="G136" s="35">
        <v>118</v>
      </c>
      <c r="H136" s="35">
        <f t="shared" si="7"/>
        <v>7715</v>
      </c>
      <c r="I136" s="36">
        <v>32.7</v>
      </c>
    </row>
    <row r="137" spans="1:9" ht="12.75">
      <c r="A137" s="34" t="s">
        <v>415</v>
      </c>
      <c r="B137" s="121">
        <v>60461837</v>
      </c>
      <c r="C137" s="6">
        <v>3113</v>
      </c>
      <c r="D137" s="35">
        <f>7931+35</f>
        <v>7966</v>
      </c>
      <c r="E137" s="35">
        <v>100</v>
      </c>
      <c r="F137" s="35">
        <f>3001+14</f>
        <v>3015</v>
      </c>
      <c r="G137" s="35">
        <v>200</v>
      </c>
      <c r="H137" s="35">
        <f t="shared" si="7"/>
        <v>11281</v>
      </c>
      <c r="I137" s="36">
        <v>44.4</v>
      </c>
    </row>
    <row r="138" spans="1:9" ht="12.75">
      <c r="A138" s="34" t="s">
        <v>416</v>
      </c>
      <c r="B138" s="121">
        <v>60461853</v>
      </c>
      <c r="C138" s="6">
        <v>3113</v>
      </c>
      <c r="D138" s="35">
        <f>4635+26</f>
        <v>4661</v>
      </c>
      <c r="E138" s="35">
        <v>20</v>
      </c>
      <c r="F138" s="35">
        <f>1738+9</f>
        <v>1747</v>
      </c>
      <c r="G138" s="35">
        <v>106</v>
      </c>
      <c r="H138" s="35">
        <f t="shared" si="7"/>
        <v>6534</v>
      </c>
      <c r="I138" s="36">
        <v>28.5</v>
      </c>
    </row>
    <row r="139" spans="1:9" ht="12.75">
      <c r="A139" s="34" t="s">
        <v>417</v>
      </c>
      <c r="B139" s="121">
        <v>63113961</v>
      </c>
      <c r="C139" s="6">
        <v>3113</v>
      </c>
      <c r="D139" s="35">
        <f>9993+61</f>
        <v>10054</v>
      </c>
      <c r="E139" s="35">
        <v>90</v>
      </c>
      <c r="F139" s="35">
        <f>3770+23</f>
        <v>3793</v>
      </c>
      <c r="G139" s="35">
        <v>290</v>
      </c>
      <c r="H139" s="35">
        <f t="shared" si="7"/>
        <v>14227</v>
      </c>
      <c r="I139" s="36">
        <v>54</v>
      </c>
    </row>
    <row r="140" spans="1:9" ht="12.75">
      <c r="A140" s="5" t="s">
        <v>418</v>
      </c>
      <c r="B140" s="17">
        <v>60433272</v>
      </c>
      <c r="C140" s="6">
        <v>3113</v>
      </c>
      <c r="D140" s="7">
        <f>10082+46</f>
        <v>10128</v>
      </c>
      <c r="E140" s="7">
        <v>266</v>
      </c>
      <c r="F140" s="7">
        <f>3863+18</f>
        <v>3881</v>
      </c>
      <c r="G140" s="7">
        <v>313</v>
      </c>
      <c r="H140" s="7">
        <f t="shared" si="7"/>
        <v>14588</v>
      </c>
      <c r="I140" s="31">
        <v>57</v>
      </c>
    </row>
    <row r="141" spans="1:9" ht="12.75">
      <c r="A141" s="89" t="s">
        <v>419</v>
      </c>
      <c r="B141" s="19"/>
      <c r="C141" s="19"/>
      <c r="D141" s="19"/>
      <c r="E141" s="19"/>
      <c r="F141" s="19"/>
      <c r="G141" s="51"/>
      <c r="H141" s="119"/>
      <c r="I141" s="101"/>
    </row>
    <row r="142" spans="1:9" ht="12.75">
      <c r="A142" s="34" t="s">
        <v>420</v>
      </c>
      <c r="B142" s="121">
        <v>61381861</v>
      </c>
      <c r="C142" s="6">
        <v>3113</v>
      </c>
      <c r="D142" s="35">
        <f>9357+46</f>
        <v>9403</v>
      </c>
      <c r="E142" s="35">
        <v>108</v>
      </c>
      <c r="F142" s="35">
        <f>3536+18</f>
        <v>3554</v>
      </c>
      <c r="G142" s="96">
        <v>296</v>
      </c>
      <c r="H142" s="96">
        <f>+D142+E142+F142+G142</f>
        <v>13361</v>
      </c>
      <c r="I142" s="36">
        <v>50</v>
      </c>
    </row>
    <row r="143" spans="1:9" ht="12.75">
      <c r="A143" s="34" t="s">
        <v>421</v>
      </c>
      <c r="B143" s="121">
        <v>61387568</v>
      </c>
      <c r="C143" s="6">
        <v>3113</v>
      </c>
      <c r="D143" s="35">
        <f>8965+23</f>
        <v>8988</v>
      </c>
      <c r="E143" s="35">
        <v>50</v>
      </c>
      <c r="F143" s="35">
        <f>3368+9</f>
        <v>3377</v>
      </c>
      <c r="G143" s="35">
        <v>251</v>
      </c>
      <c r="H143" s="35">
        <f>+D143+E143+F143+G143</f>
        <v>12666</v>
      </c>
      <c r="I143" s="36">
        <v>52</v>
      </c>
    </row>
    <row r="144" spans="1:9" ht="12.75">
      <c r="A144" s="34" t="s">
        <v>422</v>
      </c>
      <c r="B144" s="121">
        <v>61381276</v>
      </c>
      <c r="C144" s="6">
        <v>3113</v>
      </c>
      <c r="D144" s="35">
        <f>12669+72</f>
        <v>12741</v>
      </c>
      <c r="E144" s="35">
        <v>17</v>
      </c>
      <c r="F144" s="35">
        <f>4743+26</f>
        <v>4769</v>
      </c>
      <c r="G144" s="35">
        <v>362</v>
      </c>
      <c r="H144" s="35">
        <f>+D144+E144+F144+G144</f>
        <v>17889</v>
      </c>
      <c r="I144" s="36">
        <v>69</v>
      </c>
    </row>
    <row r="145" spans="1:9" ht="12.75">
      <c r="A145" s="34" t="s">
        <v>423</v>
      </c>
      <c r="B145" s="121">
        <v>61387525</v>
      </c>
      <c r="C145" s="6">
        <v>3113</v>
      </c>
      <c r="D145" s="35">
        <f>10313+72</f>
        <v>10385</v>
      </c>
      <c r="E145" s="35">
        <v>30</v>
      </c>
      <c r="F145" s="35">
        <f>3866+26</f>
        <v>3892</v>
      </c>
      <c r="G145" s="35">
        <v>330</v>
      </c>
      <c r="H145" s="35">
        <f>+D145+E145+F145+G145</f>
        <v>14637</v>
      </c>
      <c r="I145" s="36">
        <v>56</v>
      </c>
    </row>
    <row r="146" spans="1:9" ht="12.75">
      <c r="A146" s="5" t="s">
        <v>424</v>
      </c>
      <c r="B146" s="17">
        <v>61382213</v>
      </c>
      <c r="C146" s="6">
        <v>3113</v>
      </c>
      <c r="D146" s="7">
        <f>7184+35</f>
        <v>7219</v>
      </c>
      <c r="E146" s="7">
        <v>14</v>
      </c>
      <c r="F146" s="7">
        <f>2693+14</f>
        <v>2707</v>
      </c>
      <c r="G146" s="7">
        <v>222</v>
      </c>
      <c r="H146" s="7">
        <f>+D146+E146+F146+G146</f>
        <v>10162</v>
      </c>
      <c r="I146" s="31">
        <v>40</v>
      </c>
    </row>
    <row r="147" spans="1:9" ht="12.75">
      <c r="A147" s="89" t="s">
        <v>425</v>
      </c>
      <c r="B147" s="19"/>
      <c r="C147" s="19"/>
      <c r="D147" s="19"/>
      <c r="E147" s="19"/>
      <c r="F147" s="19"/>
      <c r="G147" s="51"/>
      <c r="H147" s="119"/>
      <c r="I147" s="101"/>
    </row>
    <row r="148" spans="1:9" ht="12.75">
      <c r="A148" s="34" t="s">
        <v>426</v>
      </c>
      <c r="B148" s="121">
        <v>47611898</v>
      </c>
      <c r="C148" s="6">
        <v>3113</v>
      </c>
      <c r="D148" s="35">
        <f>8701+35</f>
        <v>8736</v>
      </c>
      <c r="E148" s="35">
        <v>72</v>
      </c>
      <c r="F148" s="35">
        <f>3281+14</f>
        <v>3295</v>
      </c>
      <c r="G148" s="96">
        <v>241</v>
      </c>
      <c r="H148" s="96">
        <f aca="true" t="shared" si="8" ref="H148:H155">+D148+E148+F148+G148</f>
        <v>12344</v>
      </c>
      <c r="I148" s="36">
        <v>49.5</v>
      </c>
    </row>
    <row r="149" spans="1:9" ht="12.75">
      <c r="A149" s="34" t="s">
        <v>427</v>
      </c>
      <c r="B149" s="121">
        <v>47611871</v>
      </c>
      <c r="C149" s="6">
        <v>3113</v>
      </c>
      <c r="D149" s="35">
        <f>9054+46</f>
        <v>9100</v>
      </c>
      <c r="E149" s="35">
        <v>64</v>
      </c>
      <c r="F149" s="35">
        <f>3402+18</f>
        <v>3420</v>
      </c>
      <c r="G149" s="35">
        <v>238</v>
      </c>
      <c r="H149" s="35">
        <f t="shared" si="8"/>
        <v>12822</v>
      </c>
      <c r="I149" s="36">
        <v>52</v>
      </c>
    </row>
    <row r="150" spans="1:9" ht="12.75">
      <c r="A150" s="34" t="s">
        <v>428</v>
      </c>
      <c r="B150" s="121">
        <v>47611880</v>
      </c>
      <c r="C150" s="6">
        <v>3113</v>
      </c>
      <c r="D150" s="35">
        <f>11354+72</f>
        <v>11426</v>
      </c>
      <c r="E150" s="35">
        <v>31</v>
      </c>
      <c r="F150" s="35">
        <f>4255+26</f>
        <v>4281</v>
      </c>
      <c r="G150" s="35">
        <v>350</v>
      </c>
      <c r="H150" s="35">
        <f t="shared" si="8"/>
        <v>16088</v>
      </c>
      <c r="I150" s="36">
        <v>62.5</v>
      </c>
    </row>
    <row r="151" spans="1:9" ht="12.75">
      <c r="A151" s="34" t="s">
        <v>429</v>
      </c>
      <c r="B151" s="121">
        <v>47611171</v>
      </c>
      <c r="C151" s="6">
        <v>3113</v>
      </c>
      <c r="D151" s="35">
        <f>8593+61</f>
        <v>8654</v>
      </c>
      <c r="E151" s="35">
        <v>10</v>
      </c>
      <c r="F151" s="35">
        <f>3215+23</f>
        <v>3238</v>
      </c>
      <c r="G151" s="35">
        <v>223</v>
      </c>
      <c r="H151" s="35">
        <f t="shared" si="8"/>
        <v>12125</v>
      </c>
      <c r="I151" s="36">
        <v>47</v>
      </c>
    </row>
    <row r="152" spans="1:9" ht="12.75">
      <c r="A152" s="34" t="s">
        <v>430</v>
      </c>
      <c r="B152" s="121">
        <v>65993268</v>
      </c>
      <c r="C152" s="6">
        <v>3113</v>
      </c>
      <c r="D152" s="35">
        <f>6212+46</f>
        <v>6258</v>
      </c>
      <c r="E152" s="35">
        <v>91</v>
      </c>
      <c r="F152" s="35">
        <f>2350+18</f>
        <v>2368</v>
      </c>
      <c r="G152" s="35">
        <v>162</v>
      </c>
      <c r="H152" s="35">
        <f t="shared" si="8"/>
        <v>8879</v>
      </c>
      <c r="I152" s="36">
        <v>35</v>
      </c>
    </row>
    <row r="153" spans="1:9" ht="12.75">
      <c r="A153" s="34" t="s">
        <v>431</v>
      </c>
      <c r="B153" s="121">
        <v>65993250</v>
      </c>
      <c r="C153" s="6">
        <v>3113</v>
      </c>
      <c r="D153" s="35">
        <f>6555+46</f>
        <v>6601</v>
      </c>
      <c r="E153" s="35">
        <v>110</v>
      </c>
      <c r="F153" s="35">
        <f>2488+18</f>
        <v>2506</v>
      </c>
      <c r="G153" s="35">
        <v>178</v>
      </c>
      <c r="H153" s="35">
        <f t="shared" si="8"/>
        <v>9395</v>
      </c>
      <c r="I153" s="36">
        <v>37.5</v>
      </c>
    </row>
    <row r="154" spans="1:9" ht="12.75">
      <c r="A154" s="34" t="s">
        <v>432</v>
      </c>
      <c r="B154" s="121">
        <v>47611057</v>
      </c>
      <c r="C154" s="6">
        <v>3113</v>
      </c>
      <c r="D154" s="35">
        <v>11878</v>
      </c>
      <c r="E154" s="35">
        <v>84</v>
      </c>
      <c r="F154" s="35">
        <v>4474</v>
      </c>
      <c r="G154" s="35">
        <v>313</v>
      </c>
      <c r="H154" s="35">
        <f t="shared" si="8"/>
        <v>16749</v>
      </c>
      <c r="I154" s="36">
        <v>70.5</v>
      </c>
    </row>
    <row r="155" spans="1:9" ht="13.5" thickBot="1">
      <c r="A155" s="9" t="s">
        <v>433</v>
      </c>
      <c r="B155" s="18">
        <v>47611014</v>
      </c>
      <c r="C155" s="10">
        <v>3113</v>
      </c>
      <c r="D155" s="11">
        <f>8546+46</f>
        <v>8592</v>
      </c>
      <c r="E155" s="11">
        <v>37</v>
      </c>
      <c r="F155" s="11">
        <f>3207+18</f>
        <v>3225</v>
      </c>
      <c r="G155" s="11">
        <v>226</v>
      </c>
      <c r="H155" s="11">
        <f t="shared" si="8"/>
        <v>12080</v>
      </c>
      <c r="I155" s="117">
        <v>44.3</v>
      </c>
    </row>
    <row r="156" spans="1:10" ht="13.5" thickBot="1">
      <c r="A156" s="182"/>
      <c r="B156" s="182"/>
      <c r="C156" s="182"/>
      <c r="D156" s="183"/>
      <c r="E156" s="183"/>
      <c r="F156" s="183"/>
      <c r="G156" s="183"/>
      <c r="H156" s="183"/>
      <c r="I156" s="216"/>
      <c r="J156" s="51"/>
    </row>
    <row r="157" spans="1:9" ht="12.75" customHeight="1">
      <c r="A157" s="192" t="s">
        <v>11</v>
      </c>
      <c r="B157" s="193" t="s">
        <v>0</v>
      </c>
      <c r="C157" s="195" t="s">
        <v>17</v>
      </c>
      <c r="D157" s="193" t="s">
        <v>298</v>
      </c>
      <c r="E157" s="193"/>
      <c r="F157" s="193"/>
      <c r="G157" s="193"/>
      <c r="H157" s="193"/>
      <c r="I157" s="194"/>
    </row>
    <row r="158" spans="1:9" ht="26.25" thickBot="1">
      <c r="A158" s="186"/>
      <c r="B158" s="188"/>
      <c r="C158" s="191"/>
      <c r="D158" s="1" t="s">
        <v>2</v>
      </c>
      <c r="E158" s="1" t="s">
        <v>3</v>
      </c>
      <c r="F158" s="1" t="s">
        <v>4</v>
      </c>
      <c r="G158" s="1" t="s">
        <v>5</v>
      </c>
      <c r="H158" s="1" t="s">
        <v>6</v>
      </c>
      <c r="I158" s="2" t="s">
        <v>9</v>
      </c>
    </row>
    <row r="159" spans="1:9" ht="12.75">
      <c r="A159" s="127" t="s">
        <v>434</v>
      </c>
      <c r="B159" s="128">
        <v>47611073</v>
      </c>
      <c r="C159" s="6">
        <v>3113</v>
      </c>
      <c r="D159" s="79">
        <f>10271+35</f>
        <v>10306</v>
      </c>
      <c r="E159" s="79">
        <v>27</v>
      </c>
      <c r="F159" s="79">
        <f>3847+14</f>
        <v>3861</v>
      </c>
      <c r="G159" s="79">
        <v>279</v>
      </c>
      <c r="H159" s="35">
        <f aca="true" t="shared" si="9" ref="H159:H165">+D159+E159+F159+G159</f>
        <v>14473</v>
      </c>
      <c r="I159" s="129">
        <v>59</v>
      </c>
    </row>
    <row r="160" spans="1:9" ht="12.75">
      <c r="A160" s="110" t="s">
        <v>435</v>
      </c>
      <c r="B160" s="124">
        <v>65993233</v>
      </c>
      <c r="C160" s="6">
        <v>3113</v>
      </c>
      <c r="D160" s="96">
        <v>1029</v>
      </c>
      <c r="E160" s="96">
        <v>23</v>
      </c>
      <c r="F160" s="96">
        <v>393</v>
      </c>
      <c r="G160" s="96">
        <v>16</v>
      </c>
      <c r="H160" s="35">
        <f t="shared" si="9"/>
        <v>1461</v>
      </c>
      <c r="I160" s="125">
        <v>5.6</v>
      </c>
    </row>
    <row r="161" spans="1:9" ht="12.75">
      <c r="A161" s="34" t="s">
        <v>436</v>
      </c>
      <c r="B161" s="121">
        <v>65993276</v>
      </c>
      <c r="C161" s="6">
        <v>3113</v>
      </c>
      <c r="D161" s="35">
        <f>5873+38</f>
        <v>5911</v>
      </c>
      <c r="E161" s="35">
        <v>66</v>
      </c>
      <c r="F161" s="35">
        <f>2218+14</f>
        <v>2232</v>
      </c>
      <c r="G161" s="35">
        <v>148</v>
      </c>
      <c r="H161" s="35">
        <f t="shared" si="9"/>
        <v>8357</v>
      </c>
      <c r="I161" s="36">
        <v>36.1</v>
      </c>
    </row>
    <row r="162" spans="1:9" ht="12.75">
      <c r="A162" s="34" t="s">
        <v>437</v>
      </c>
      <c r="B162" s="121">
        <v>65993225</v>
      </c>
      <c r="C162" s="6">
        <v>3113</v>
      </c>
      <c r="D162" s="35">
        <f>8829+46</f>
        <v>8875</v>
      </c>
      <c r="E162" s="35">
        <v>19</v>
      </c>
      <c r="F162" s="35">
        <f>3302+18</f>
        <v>3320</v>
      </c>
      <c r="G162" s="35">
        <v>245</v>
      </c>
      <c r="H162" s="35">
        <f t="shared" si="9"/>
        <v>12459</v>
      </c>
      <c r="I162" s="36">
        <v>49</v>
      </c>
    </row>
    <row r="163" spans="1:9" ht="12.75">
      <c r="A163" s="34" t="s">
        <v>438</v>
      </c>
      <c r="B163" s="121">
        <v>65993284</v>
      </c>
      <c r="C163" s="6">
        <v>3113</v>
      </c>
      <c r="D163" s="35">
        <f>6126+35</f>
        <v>6161</v>
      </c>
      <c r="E163" s="35">
        <v>25</v>
      </c>
      <c r="F163" s="35">
        <f>2299+14</f>
        <v>2313</v>
      </c>
      <c r="G163" s="35">
        <v>144</v>
      </c>
      <c r="H163" s="35">
        <f t="shared" si="9"/>
        <v>8643</v>
      </c>
      <c r="I163" s="36">
        <v>36.5</v>
      </c>
    </row>
    <row r="164" spans="1:9" ht="12.75">
      <c r="A164" s="34" t="s">
        <v>439</v>
      </c>
      <c r="B164" s="121">
        <v>48132012</v>
      </c>
      <c r="C164" s="6">
        <v>3113</v>
      </c>
      <c r="D164" s="35">
        <f>7563+46</f>
        <v>7609</v>
      </c>
      <c r="E164" s="35">
        <v>25</v>
      </c>
      <c r="F164" s="35">
        <f>2840+18</f>
        <v>2858</v>
      </c>
      <c r="G164" s="35">
        <v>238</v>
      </c>
      <c r="H164" s="35">
        <f t="shared" si="9"/>
        <v>10730</v>
      </c>
      <c r="I164" s="36">
        <v>43.1</v>
      </c>
    </row>
    <row r="165" spans="1:9" ht="12.75">
      <c r="A165" s="5" t="s">
        <v>440</v>
      </c>
      <c r="B165" s="17">
        <v>65993497</v>
      </c>
      <c r="C165" s="6">
        <v>3113</v>
      </c>
      <c r="D165" s="7">
        <f>10111+72</f>
        <v>10183</v>
      </c>
      <c r="E165" s="7">
        <v>186</v>
      </c>
      <c r="F165" s="7">
        <f>3846+26</f>
        <v>3872</v>
      </c>
      <c r="G165" s="7">
        <v>307</v>
      </c>
      <c r="H165" s="7">
        <f t="shared" si="9"/>
        <v>14548</v>
      </c>
      <c r="I165" s="31">
        <v>58</v>
      </c>
    </row>
    <row r="166" spans="1:9" ht="12.75">
      <c r="A166" s="89" t="s">
        <v>441</v>
      </c>
      <c r="B166" s="19"/>
      <c r="C166" s="19"/>
      <c r="D166" s="19"/>
      <c r="E166" s="19"/>
      <c r="F166" s="19"/>
      <c r="G166" s="51"/>
      <c r="H166" s="66"/>
      <c r="I166" s="101"/>
    </row>
    <row r="167" spans="1:9" ht="12.75">
      <c r="A167" s="5" t="s">
        <v>442</v>
      </c>
      <c r="B167" s="6">
        <v>61388408</v>
      </c>
      <c r="C167" s="6">
        <v>3113</v>
      </c>
      <c r="D167" s="7">
        <f>9013+61</f>
        <v>9074</v>
      </c>
      <c r="E167" s="7">
        <v>187</v>
      </c>
      <c r="F167" s="7">
        <f>3430+23</f>
        <v>3453</v>
      </c>
      <c r="G167" s="16">
        <v>246</v>
      </c>
      <c r="H167" s="96">
        <f aca="true" t="shared" si="10" ref="H167:H176">+D167+E167+F167+G167</f>
        <v>12960</v>
      </c>
      <c r="I167" s="31">
        <v>52.5</v>
      </c>
    </row>
    <row r="168" spans="1:9" ht="12.75">
      <c r="A168" s="34" t="s">
        <v>443</v>
      </c>
      <c r="B168" s="121">
        <v>48132306</v>
      </c>
      <c r="C168" s="6">
        <v>3113</v>
      </c>
      <c r="D168" s="35">
        <f>12222+84</f>
        <v>12306</v>
      </c>
      <c r="E168" s="35">
        <v>104</v>
      </c>
      <c r="F168" s="35">
        <f>4599+32</f>
        <v>4631</v>
      </c>
      <c r="G168" s="35">
        <v>356</v>
      </c>
      <c r="H168" s="35">
        <f t="shared" si="10"/>
        <v>17397</v>
      </c>
      <c r="I168" s="36">
        <v>66.5</v>
      </c>
    </row>
    <row r="169" spans="1:9" ht="12.75">
      <c r="A169" s="34" t="s">
        <v>444</v>
      </c>
      <c r="B169" s="121">
        <v>61388424</v>
      </c>
      <c r="C169" s="6">
        <v>3113</v>
      </c>
      <c r="D169" s="35">
        <f>14046+84</f>
        <v>14130</v>
      </c>
      <c r="E169" s="35">
        <v>110</v>
      </c>
      <c r="F169" s="35">
        <f>5289+32</f>
        <v>5321</v>
      </c>
      <c r="G169" s="35">
        <v>411</v>
      </c>
      <c r="H169" s="35">
        <f t="shared" si="10"/>
        <v>19972</v>
      </c>
      <c r="I169" s="36">
        <v>76.6</v>
      </c>
    </row>
    <row r="170" spans="1:9" ht="12.75">
      <c r="A170" s="34" t="s">
        <v>445</v>
      </c>
      <c r="B170" s="121">
        <v>61388483</v>
      </c>
      <c r="C170" s="6">
        <v>3113</v>
      </c>
      <c r="D170" s="35">
        <f>15940+118</f>
        <v>16058</v>
      </c>
      <c r="E170" s="35">
        <v>38</v>
      </c>
      <c r="F170" s="35">
        <f>5969+41</f>
        <v>6010</v>
      </c>
      <c r="G170" s="35">
        <v>476</v>
      </c>
      <c r="H170" s="35">
        <f t="shared" si="10"/>
        <v>22582</v>
      </c>
      <c r="I170" s="36">
        <v>91</v>
      </c>
    </row>
    <row r="171" spans="1:9" ht="12.75">
      <c r="A171" s="34" t="s">
        <v>446</v>
      </c>
      <c r="B171" s="121">
        <v>47611863</v>
      </c>
      <c r="C171" s="6">
        <v>3113</v>
      </c>
      <c r="D171" s="35">
        <f>11954+72</f>
        <v>12026</v>
      </c>
      <c r="E171" s="35">
        <v>80</v>
      </c>
      <c r="F171" s="35">
        <f>4501+26</f>
        <v>4527</v>
      </c>
      <c r="G171" s="35">
        <v>358</v>
      </c>
      <c r="H171" s="35">
        <f t="shared" si="10"/>
        <v>16991</v>
      </c>
      <c r="I171" s="36">
        <v>65</v>
      </c>
    </row>
    <row r="172" spans="1:9" ht="12.75">
      <c r="A172" s="34" t="s">
        <v>447</v>
      </c>
      <c r="B172" s="121">
        <v>61388343</v>
      </c>
      <c r="C172" s="6">
        <v>3113</v>
      </c>
      <c r="D172" s="35">
        <f>7796+46</f>
        <v>7842</v>
      </c>
      <c r="E172" s="35">
        <v>160</v>
      </c>
      <c r="F172" s="35">
        <f>2972+18</f>
        <v>2990</v>
      </c>
      <c r="G172" s="35">
        <v>231</v>
      </c>
      <c r="H172" s="35">
        <f t="shared" si="10"/>
        <v>11223</v>
      </c>
      <c r="I172" s="36">
        <v>41.5</v>
      </c>
    </row>
    <row r="173" spans="1:9" ht="12.75">
      <c r="A173" s="34" t="s">
        <v>448</v>
      </c>
      <c r="B173" s="121">
        <v>61388530</v>
      </c>
      <c r="C173" s="6">
        <v>3113</v>
      </c>
      <c r="D173" s="35">
        <f>10003+46</f>
        <v>10049</v>
      </c>
      <c r="E173" s="35">
        <v>50</v>
      </c>
      <c r="F173" s="35">
        <f>3766+18</f>
        <v>3784</v>
      </c>
      <c r="G173" s="35">
        <v>270</v>
      </c>
      <c r="H173" s="35">
        <f t="shared" si="10"/>
        <v>14153</v>
      </c>
      <c r="I173" s="36">
        <v>53.3</v>
      </c>
    </row>
    <row r="174" spans="1:9" ht="12.75">
      <c r="A174" s="34" t="s">
        <v>449</v>
      </c>
      <c r="B174" s="121">
        <v>61388459</v>
      </c>
      <c r="C174" s="6">
        <v>3113</v>
      </c>
      <c r="D174" s="35">
        <f>11332+72</f>
        <v>11404</v>
      </c>
      <c r="E174" s="35">
        <v>30</v>
      </c>
      <c r="F174" s="35">
        <f>4252+26</f>
        <v>4278</v>
      </c>
      <c r="G174" s="35">
        <v>343</v>
      </c>
      <c r="H174" s="35">
        <f t="shared" si="10"/>
        <v>16055</v>
      </c>
      <c r="I174" s="36">
        <v>62.5</v>
      </c>
    </row>
    <row r="175" spans="1:9" ht="12.75">
      <c r="A175" s="34" t="s">
        <v>450</v>
      </c>
      <c r="B175" s="121">
        <v>61388432</v>
      </c>
      <c r="C175" s="6">
        <v>3113</v>
      </c>
      <c r="D175" s="35">
        <f>17078+142</f>
        <v>17220</v>
      </c>
      <c r="E175" s="35">
        <v>400</v>
      </c>
      <c r="F175" s="35">
        <f>6525+49</f>
        <v>6574</v>
      </c>
      <c r="G175" s="35">
        <v>524</v>
      </c>
      <c r="H175" s="35">
        <f t="shared" si="10"/>
        <v>24718</v>
      </c>
      <c r="I175" s="36">
        <v>105</v>
      </c>
    </row>
    <row r="176" spans="1:9" ht="12.75">
      <c r="A176" s="5" t="s">
        <v>451</v>
      </c>
      <c r="B176" s="17">
        <v>60447354</v>
      </c>
      <c r="C176" s="6">
        <v>3113</v>
      </c>
      <c r="D176" s="7">
        <v>1600</v>
      </c>
      <c r="E176" s="7">
        <v>26</v>
      </c>
      <c r="F176" s="7">
        <v>606</v>
      </c>
      <c r="G176" s="7">
        <v>60</v>
      </c>
      <c r="H176" s="7">
        <f t="shared" si="10"/>
        <v>2292</v>
      </c>
      <c r="I176" s="31">
        <v>8</v>
      </c>
    </row>
    <row r="177" spans="1:9" ht="12.75">
      <c r="A177" s="89" t="s">
        <v>452</v>
      </c>
      <c r="B177" s="19"/>
      <c r="C177" s="19"/>
      <c r="D177" s="19"/>
      <c r="E177" s="19"/>
      <c r="F177" s="19"/>
      <c r="G177" s="51"/>
      <c r="H177" s="119"/>
      <c r="I177" s="101"/>
    </row>
    <row r="178" spans="1:9" ht="12.75">
      <c r="A178" s="34" t="s">
        <v>574</v>
      </c>
      <c r="B178" s="121">
        <v>49367463</v>
      </c>
      <c r="C178" s="6">
        <v>3113</v>
      </c>
      <c r="D178" s="35">
        <f>17152+84</f>
        <v>17236</v>
      </c>
      <c r="E178" s="35">
        <v>30</v>
      </c>
      <c r="F178" s="35">
        <f>6428+29</f>
        <v>6457</v>
      </c>
      <c r="G178" s="96">
        <v>486</v>
      </c>
      <c r="H178" s="96">
        <f aca="true" t="shared" si="11" ref="H178:H189">+D178+E178+F178+G178</f>
        <v>24209</v>
      </c>
      <c r="I178" s="36">
        <v>104</v>
      </c>
    </row>
    <row r="179" spans="1:9" ht="12.75">
      <c r="A179" s="34" t="s">
        <v>453</v>
      </c>
      <c r="B179" s="121">
        <v>60437073</v>
      </c>
      <c r="C179" s="6">
        <v>3113</v>
      </c>
      <c r="D179" s="35">
        <f>5618+46</f>
        <v>5664</v>
      </c>
      <c r="E179" s="35">
        <v>175</v>
      </c>
      <c r="F179" s="35">
        <f>2154+18</f>
        <v>2172</v>
      </c>
      <c r="G179" s="35">
        <v>177</v>
      </c>
      <c r="H179" s="35">
        <f t="shared" si="11"/>
        <v>8188</v>
      </c>
      <c r="I179" s="36">
        <v>32</v>
      </c>
    </row>
    <row r="180" spans="1:9" ht="12.75">
      <c r="A180" s="34" t="s">
        <v>454</v>
      </c>
      <c r="B180" s="121">
        <v>60436913</v>
      </c>
      <c r="C180" s="6">
        <v>3113</v>
      </c>
      <c r="D180" s="35">
        <f>6428+46</f>
        <v>6474</v>
      </c>
      <c r="E180" s="35">
        <v>158</v>
      </c>
      <c r="F180" s="35">
        <f>2453+18</f>
        <v>2471</v>
      </c>
      <c r="G180" s="35">
        <v>158</v>
      </c>
      <c r="H180" s="35">
        <f t="shared" si="11"/>
        <v>9261</v>
      </c>
      <c r="I180" s="36">
        <v>38.5</v>
      </c>
    </row>
    <row r="181" spans="1:9" ht="12.75">
      <c r="A181" s="34" t="s">
        <v>455</v>
      </c>
      <c r="B181" s="121">
        <v>60437936</v>
      </c>
      <c r="C181" s="6">
        <v>3113</v>
      </c>
      <c r="D181" s="35">
        <v>2069</v>
      </c>
      <c r="E181" s="35">
        <v>5</v>
      </c>
      <c r="F181" s="35">
        <v>775</v>
      </c>
      <c r="G181" s="35">
        <v>69</v>
      </c>
      <c r="H181" s="35">
        <f t="shared" si="11"/>
        <v>2918</v>
      </c>
      <c r="I181" s="36">
        <v>12.5</v>
      </c>
    </row>
    <row r="182" spans="1:9" ht="12.75">
      <c r="A182" s="34" t="s">
        <v>456</v>
      </c>
      <c r="B182" s="121">
        <v>60437910</v>
      </c>
      <c r="C182" s="6">
        <v>3113</v>
      </c>
      <c r="D182" s="35">
        <f>8660+61</f>
        <v>8721</v>
      </c>
      <c r="E182" s="35">
        <v>158</v>
      </c>
      <c r="F182" s="35">
        <f>3293+23</f>
        <v>3316</v>
      </c>
      <c r="G182" s="35">
        <v>241</v>
      </c>
      <c r="H182" s="35">
        <f t="shared" si="11"/>
        <v>12436</v>
      </c>
      <c r="I182" s="36">
        <v>52.6</v>
      </c>
    </row>
    <row r="183" spans="1:9" ht="12.75">
      <c r="A183" s="34" t="s">
        <v>457</v>
      </c>
      <c r="B183" s="121">
        <v>49367609</v>
      </c>
      <c r="C183" s="6">
        <v>3113</v>
      </c>
      <c r="D183" s="35">
        <f>6612+46</f>
        <v>6658</v>
      </c>
      <c r="E183" s="35">
        <v>100</v>
      </c>
      <c r="F183" s="35">
        <f>2499+18</f>
        <v>2517</v>
      </c>
      <c r="G183" s="35">
        <v>185</v>
      </c>
      <c r="H183" s="35">
        <f t="shared" si="11"/>
        <v>9460</v>
      </c>
      <c r="I183" s="36">
        <v>37</v>
      </c>
    </row>
    <row r="184" spans="1:9" ht="12.75">
      <c r="A184" s="34" t="s">
        <v>458</v>
      </c>
      <c r="B184" s="121">
        <v>61387363</v>
      </c>
      <c r="C184" s="6">
        <v>3113</v>
      </c>
      <c r="D184" s="35">
        <f>9488+72</f>
        <v>9560</v>
      </c>
      <c r="E184" s="35">
        <v>38</v>
      </c>
      <c r="F184" s="35">
        <f>3560+26</f>
        <v>3586</v>
      </c>
      <c r="G184" s="35">
        <v>269</v>
      </c>
      <c r="H184" s="35">
        <f t="shared" si="11"/>
        <v>13453</v>
      </c>
      <c r="I184" s="36">
        <v>53.2</v>
      </c>
    </row>
    <row r="185" spans="1:9" ht="12.75">
      <c r="A185" s="34" t="s">
        <v>575</v>
      </c>
      <c r="B185" s="121">
        <v>61386685</v>
      </c>
      <c r="C185" s="6">
        <v>3113</v>
      </c>
      <c r="D185" s="35">
        <f>12384+84</f>
        <v>12468</v>
      </c>
      <c r="E185" s="35">
        <v>160</v>
      </c>
      <c r="F185" s="35">
        <f>4689+32</f>
        <v>4721</v>
      </c>
      <c r="G185" s="35">
        <v>343</v>
      </c>
      <c r="H185" s="35">
        <f t="shared" si="11"/>
        <v>17692</v>
      </c>
      <c r="I185" s="36">
        <v>76</v>
      </c>
    </row>
    <row r="186" spans="1:9" ht="12.75">
      <c r="A186" s="34" t="s">
        <v>459</v>
      </c>
      <c r="B186" s="121">
        <v>61388254</v>
      </c>
      <c r="C186" s="6">
        <v>3113</v>
      </c>
      <c r="D186" s="35">
        <f>8312+46</f>
        <v>8358</v>
      </c>
      <c r="E186" s="35">
        <v>21</v>
      </c>
      <c r="F186" s="35">
        <f>3112+18</f>
        <v>3130</v>
      </c>
      <c r="G186" s="35">
        <v>248</v>
      </c>
      <c r="H186" s="35">
        <f t="shared" si="11"/>
        <v>11757</v>
      </c>
      <c r="I186" s="36">
        <v>51.2</v>
      </c>
    </row>
    <row r="187" spans="1:9" ht="12.75">
      <c r="A187" s="34" t="s">
        <v>460</v>
      </c>
      <c r="B187" s="121">
        <v>61386782</v>
      </c>
      <c r="C187" s="6">
        <v>3113</v>
      </c>
      <c r="D187" s="35">
        <f>8485+46</f>
        <v>8531</v>
      </c>
      <c r="E187" s="35">
        <v>0</v>
      </c>
      <c r="F187" s="35">
        <f>3174+18</f>
        <v>3192</v>
      </c>
      <c r="G187" s="35">
        <v>248</v>
      </c>
      <c r="H187" s="35">
        <f t="shared" si="11"/>
        <v>11971</v>
      </c>
      <c r="I187" s="36">
        <v>52.5</v>
      </c>
    </row>
    <row r="188" spans="1:9" ht="12.75">
      <c r="A188" s="5" t="s">
        <v>461</v>
      </c>
      <c r="B188" s="17">
        <v>60437189</v>
      </c>
      <c r="C188" s="6">
        <v>3113</v>
      </c>
      <c r="D188" s="7">
        <f>4067+26</f>
        <v>4093</v>
      </c>
      <c r="E188" s="7">
        <v>10</v>
      </c>
      <c r="F188" s="7">
        <f>1527+9</f>
        <v>1536</v>
      </c>
      <c r="G188" s="7">
        <v>90</v>
      </c>
      <c r="H188" s="35">
        <f t="shared" si="11"/>
        <v>5729</v>
      </c>
      <c r="I188" s="31">
        <v>26</v>
      </c>
    </row>
    <row r="189" spans="1:9" ht="12.75">
      <c r="A189" s="5" t="s">
        <v>462</v>
      </c>
      <c r="B189" s="17">
        <v>60437197</v>
      </c>
      <c r="C189" s="6">
        <v>3113</v>
      </c>
      <c r="D189" s="7">
        <f>10722+61</f>
        <v>10783</v>
      </c>
      <c r="E189" s="7">
        <v>110</v>
      </c>
      <c r="F189" s="7">
        <f>4050+23</f>
        <v>4073</v>
      </c>
      <c r="G189" s="7">
        <v>304</v>
      </c>
      <c r="H189" s="7">
        <f t="shared" si="11"/>
        <v>15270</v>
      </c>
      <c r="I189" s="31">
        <v>61.5</v>
      </c>
    </row>
    <row r="190" spans="1:9" ht="12.75">
      <c r="A190" s="89" t="s">
        <v>463</v>
      </c>
      <c r="B190" s="19"/>
      <c r="C190" s="19"/>
      <c r="D190" s="19"/>
      <c r="E190" s="19"/>
      <c r="F190" s="19"/>
      <c r="G190" s="51"/>
      <c r="H190" s="119"/>
      <c r="I190" s="101"/>
    </row>
    <row r="191" spans="1:9" ht="12.75">
      <c r="A191" s="34" t="s">
        <v>464</v>
      </c>
      <c r="B191" s="121">
        <v>67799612</v>
      </c>
      <c r="C191" s="6">
        <v>3113</v>
      </c>
      <c r="D191" s="35">
        <f>16252+142</f>
        <v>16394</v>
      </c>
      <c r="E191" s="35">
        <v>148</v>
      </c>
      <c r="F191" s="35">
        <f>6116+49</f>
        <v>6165</v>
      </c>
      <c r="G191" s="96">
        <v>535</v>
      </c>
      <c r="H191" s="96">
        <f>+D191+E191+F191+G191</f>
        <v>23242</v>
      </c>
      <c r="I191" s="36">
        <v>91</v>
      </c>
    </row>
    <row r="192" spans="1:9" ht="12.75">
      <c r="A192" s="34" t="s">
        <v>465</v>
      </c>
      <c r="B192" s="121">
        <v>62934368</v>
      </c>
      <c r="C192" s="6">
        <v>3113</v>
      </c>
      <c r="D192" s="35">
        <f>11447+95</f>
        <v>11542</v>
      </c>
      <c r="E192" s="35">
        <v>45</v>
      </c>
      <c r="F192" s="35">
        <f>4293+35</f>
        <v>4328</v>
      </c>
      <c r="G192" s="35">
        <v>356</v>
      </c>
      <c r="H192" s="35">
        <f>+D192+E192+F192+G192</f>
        <v>16271</v>
      </c>
      <c r="I192" s="36">
        <v>67.5</v>
      </c>
    </row>
    <row r="193" spans="1:9" ht="12.75">
      <c r="A193" s="5" t="s">
        <v>466</v>
      </c>
      <c r="B193" s="6">
        <v>70101060</v>
      </c>
      <c r="C193" s="6">
        <v>3113</v>
      </c>
      <c r="D193" s="7">
        <f>11420+84</f>
        <v>11504</v>
      </c>
      <c r="E193" s="7">
        <v>42</v>
      </c>
      <c r="F193" s="7">
        <f>4281+32</f>
        <v>4313</v>
      </c>
      <c r="G193" s="7">
        <v>331</v>
      </c>
      <c r="H193" s="35">
        <f>+D193+E193+F193+G193</f>
        <v>16190</v>
      </c>
      <c r="I193" s="31">
        <v>65</v>
      </c>
    </row>
    <row r="194" spans="1:9" ht="12.75">
      <c r="A194" s="110" t="s">
        <v>467</v>
      </c>
      <c r="B194" s="124">
        <v>61385620</v>
      </c>
      <c r="C194" s="6">
        <v>3113</v>
      </c>
      <c r="D194" s="96">
        <v>4744</v>
      </c>
      <c r="E194" s="96">
        <v>45</v>
      </c>
      <c r="F194" s="96">
        <v>1791</v>
      </c>
      <c r="G194" s="96">
        <v>235</v>
      </c>
      <c r="H194" s="35">
        <f>+D194+E194+F194+G194</f>
        <v>6815</v>
      </c>
      <c r="I194" s="125">
        <v>28</v>
      </c>
    </row>
    <row r="195" spans="1:9" ht="13.5" thickBot="1">
      <c r="A195" s="9" t="s">
        <v>468</v>
      </c>
      <c r="B195" s="18">
        <v>62934309</v>
      </c>
      <c r="C195" s="10">
        <v>3113</v>
      </c>
      <c r="D195" s="11">
        <f>9740+61</f>
        <v>9801</v>
      </c>
      <c r="E195" s="11">
        <v>35</v>
      </c>
      <c r="F195" s="11">
        <f>3651+23</f>
        <v>3674</v>
      </c>
      <c r="G195" s="11">
        <v>290</v>
      </c>
      <c r="H195" s="11">
        <f>+D195+E195+F195+G195</f>
        <v>13800</v>
      </c>
      <c r="I195" s="117">
        <v>53</v>
      </c>
    </row>
    <row r="196" spans="1:9" ht="12.75" customHeight="1">
      <c r="A196" s="185" t="s">
        <v>11</v>
      </c>
      <c r="B196" s="187" t="s">
        <v>0</v>
      </c>
      <c r="C196" s="190" t="s">
        <v>17</v>
      </c>
      <c r="D196" s="187" t="s">
        <v>298</v>
      </c>
      <c r="E196" s="187"/>
      <c r="F196" s="187"/>
      <c r="G196" s="187"/>
      <c r="H196" s="187"/>
      <c r="I196" s="189"/>
    </row>
    <row r="197" spans="1:9" ht="26.25" thickBot="1">
      <c r="A197" s="186"/>
      <c r="B197" s="188"/>
      <c r="C197" s="191"/>
      <c r="D197" s="1" t="s">
        <v>2</v>
      </c>
      <c r="E197" s="1" t="s">
        <v>3</v>
      </c>
      <c r="F197" s="1" t="s">
        <v>4</v>
      </c>
      <c r="G197" s="1" t="s">
        <v>5</v>
      </c>
      <c r="H197" s="1" t="s">
        <v>6</v>
      </c>
      <c r="I197" s="2" t="s">
        <v>9</v>
      </c>
    </row>
    <row r="198" spans="1:9" ht="12.75">
      <c r="A198" s="34" t="s">
        <v>469</v>
      </c>
      <c r="B198" s="121">
        <v>67365744</v>
      </c>
      <c r="C198" s="6">
        <v>3113</v>
      </c>
      <c r="D198" s="35">
        <f>9858+72</f>
        <v>9930</v>
      </c>
      <c r="E198" s="35">
        <v>81</v>
      </c>
      <c r="F198" s="35">
        <f>3710+26</f>
        <v>3736</v>
      </c>
      <c r="G198" s="35">
        <v>301</v>
      </c>
      <c r="H198" s="35">
        <f aca="true" t="shared" si="12" ref="H198:H205">+D198+E198+F198+G198</f>
        <v>14048</v>
      </c>
      <c r="I198" s="36">
        <v>59</v>
      </c>
    </row>
    <row r="199" spans="1:9" ht="12.75">
      <c r="A199" s="34" t="s">
        <v>576</v>
      </c>
      <c r="B199" s="121">
        <v>67365213</v>
      </c>
      <c r="C199" s="6">
        <v>3113</v>
      </c>
      <c r="D199" s="35">
        <f>8564+72</f>
        <v>8636</v>
      </c>
      <c r="E199" s="35">
        <v>96</v>
      </c>
      <c r="F199" s="35">
        <f>3233+26</f>
        <v>3259</v>
      </c>
      <c r="G199" s="35">
        <v>233</v>
      </c>
      <c r="H199" s="35">
        <f t="shared" si="12"/>
        <v>12224</v>
      </c>
      <c r="I199" s="36">
        <v>51</v>
      </c>
    </row>
    <row r="200" spans="1:9" ht="12.75">
      <c r="A200" s="34" t="s">
        <v>470</v>
      </c>
      <c r="B200" s="121">
        <v>61385531</v>
      </c>
      <c r="C200" s="6">
        <v>3113</v>
      </c>
      <c r="D200" s="35">
        <f>12537+84</f>
        <v>12621</v>
      </c>
      <c r="E200" s="35">
        <v>28</v>
      </c>
      <c r="F200" s="35">
        <f>4698+29</f>
        <v>4727</v>
      </c>
      <c r="G200" s="35">
        <v>413</v>
      </c>
      <c r="H200" s="35">
        <f t="shared" si="12"/>
        <v>17789</v>
      </c>
      <c r="I200" s="36">
        <v>75</v>
      </c>
    </row>
    <row r="201" spans="1:9" ht="12.75">
      <c r="A201" s="34" t="s">
        <v>471</v>
      </c>
      <c r="B201" s="121">
        <v>70101078</v>
      </c>
      <c r="C201" s="6">
        <v>3113</v>
      </c>
      <c r="D201" s="35">
        <f>9554+46</f>
        <v>9600</v>
      </c>
      <c r="E201" s="35">
        <v>30</v>
      </c>
      <c r="F201" s="35">
        <f>3578+18</f>
        <v>3596</v>
      </c>
      <c r="G201" s="35">
        <v>362</v>
      </c>
      <c r="H201" s="35">
        <f t="shared" si="12"/>
        <v>13588</v>
      </c>
      <c r="I201" s="36">
        <v>52</v>
      </c>
    </row>
    <row r="202" spans="1:9" ht="12.75">
      <c r="A202" s="34" t="s">
        <v>472</v>
      </c>
      <c r="B202" s="121">
        <v>61385611</v>
      </c>
      <c r="C202" s="6">
        <v>3113</v>
      </c>
      <c r="D202" s="35">
        <v>3595</v>
      </c>
      <c r="E202" s="35">
        <v>6</v>
      </c>
      <c r="F202" s="35">
        <v>1344</v>
      </c>
      <c r="G202" s="35">
        <v>124</v>
      </c>
      <c r="H202" s="35">
        <f t="shared" si="12"/>
        <v>5069</v>
      </c>
      <c r="I202" s="36">
        <v>20</v>
      </c>
    </row>
    <row r="203" spans="1:9" ht="12.75">
      <c r="A203" s="34" t="s">
        <v>473</v>
      </c>
      <c r="B203" s="121">
        <v>47611219</v>
      </c>
      <c r="C203" s="6">
        <v>3113</v>
      </c>
      <c r="D203" s="35">
        <f>5422+26</f>
        <v>5448</v>
      </c>
      <c r="E203" s="35">
        <v>36</v>
      </c>
      <c r="F203" s="35">
        <f>2040+9</f>
        <v>2049</v>
      </c>
      <c r="G203" s="35">
        <v>224</v>
      </c>
      <c r="H203" s="35">
        <f t="shared" si="12"/>
        <v>7757</v>
      </c>
      <c r="I203" s="36">
        <v>30</v>
      </c>
    </row>
    <row r="204" spans="1:9" ht="12.75">
      <c r="A204" s="34" t="s">
        <v>474</v>
      </c>
      <c r="B204" s="121">
        <v>68407904</v>
      </c>
      <c r="C204" s="6">
        <v>3113</v>
      </c>
      <c r="D204" s="35">
        <f>12729+130</f>
        <v>12859</v>
      </c>
      <c r="E204" s="35">
        <v>145</v>
      </c>
      <c r="F204" s="35">
        <f>4807+46</f>
        <v>4853</v>
      </c>
      <c r="G204" s="35">
        <v>401</v>
      </c>
      <c r="H204" s="35">
        <f t="shared" si="12"/>
        <v>18258</v>
      </c>
      <c r="I204" s="36">
        <v>73</v>
      </c>
    </row>
    <row r="205" spans="1:9" ht="12.75">
      <c r="A205" s="5" t="s">
        <v>475</v>
      </c>
      <c r="B205" s="17">
        <v>61385603</v>
      </c>
      <c r="C205" s="6">
        <v>3113</v>
      </c>
      <c r="D205" s="7">
        <v>3452</v>
      </c>
      <c r="E205" s="7">
        <v>12</v>
      </c>
      <c r="F205" s="7">
        <v>1296</v>
      </c>
      <c r="G205" s="7">
        <v>124</v>
      </c>
      <c r="H205" s="35">
        <f t="shared" si="12"/>
        <v>4884</v>
      </c>
      <c r="I205" s="31">
        <v>22</v>
      </c>
    </row>
    <row r="206" spans="1:9" ht="12.75">
      <c r="A206" s="89" t="s">
        <v>476</v>
      </c>
      <c r="B206" s="19"/>
      <c r="C206" s="19"/>
      <c r="D206" s="19"/>
      <c r="E206" s="19"/>
      <c r="F206" s="19"/>
      <c r="G206" s="19"/>
      <c r="H206" s="35"/>
      <c r="I206" s="101"/>
    </row>
    <row r="207" spans="1:9" ht="12.75">
      <c r="A207" s="34" t="s">
        <v>477</v>
      </c>
      <c r="B207" s="121">
        <v>63832836</v>
      </c>
      <c r="C207" s="6">
        <v>3113</v>
      </c>
      <c r="D207" s="35">
        <f>8198+46</f>
        <v>8244</v>
      </c>
      <c r="E207" s="35">
        <v>25</v>
      </c>
      <c r="F207" s="35">
        <f>3076+18</f>
        <v>3094</v>
      </c>
      <c r="G207" s="35">
        <v>278</v>
      </c>
      <c r="H207" s="35">
        <f aca="true" t="shared" si="13" ref="H207:H213">+D207+E207+F207+G207</f>
        <v>11641</v>
      </c>
      <c r="I207" s="36">
        <v>44</v>
      </c>
    </row>
    <row r="208" spans="1:9" ht="12.75">
      <c r="A208" s="34" t="s">
        <v>478</v>
      </c>
      <c r="B208" s="121">
        <v>61386898</v>
      </c>
      <c r="C208" s="6">
        <v>3113</v>
      </c>
      <c r="D208" s="35">
        <f>17466+95</f>
        <v>17561</v>
      </c>
      <c r="E208" s="35">
        <v>228</v>
      </c>
      <c r="F208" s="35">
        <f>6609+32</f>
        <v>6641</v>
      </c>
      <c r="G208" s="35">
        <v>584</v>
      </c>
      <c r="H208" s="35">
        <f t="shared" si="13"/>
        <v>25014</v>
      </c>
      <c r="I208" s="36">
        <v>99</v>
      </c>
    </row>
    <row r="209" spans="1:9" ht="12.75">
      <c r="A209" s="34" t="s">
        <v>479</v>
      </c>
      <c r="B209" s="121">
        <v>49625128</v>
      </c>
      <c r="C209" s="6">
        <v>3113</v>
      </c>
      <c r="D209" s="35">
        <f>7204+46</f>
        <v>7250</v>
      </c>
      <c r="E209" s="35">
        <v>200</v>
      </c>
      <c r="F209" s="35">
        <f>2771+18</f>
        <v>2789</v>
      </c>
      <c r="G209" s="35">
        <v>236</v>
      </c>
      <c r="H209" s="35">
        <f t="shared" si="13"/>
        <v>10475</v>
      </c>
      <c r="I209" s="36">
        <v>39</v>
      </c>
    </row>
    <row r="210" spans="1:9" ht="12.75">
      <c r="A210" s="34" t="s">
        <v>480</v>
      </c>
      <c r="B210" s="121">
        <v>61381233</v>
      </c>
      <c r="C210" s="6">
        <v>3113</v>
      </c>
      <c r="D210" s="35">
        <f>10865+61</f>
        <v>10926</v>
      </c>
      <c r="E210" s="35">
        <v>49</v>
      </c>
      <c r="F210" s="35">
        <f>4079+23</f>
        <v>4102</v>
      </c>
      <c r="G210" s="35">
        <v>326</v>
      </c>
      <c r="H210" s="35">
        <f t="shared" si="13"/>
        <v>15403</v>
      </c>
      <c r="I210" s="36">
        <v>61.5</v>
      </c>
    </row>
    <row r="211" spans="1:9" ht="12.75">
      <c r="A211" s="34" t="s">
        <v>481</v>
      </c>
      <c r="B211" s="121">
        <v>45246025</v>
      </c>
      <c r="C211" s="6">
        <v>3113</v>
      </c>
      <c r="D211" s="35">
        <f>4482+26</f>
        <v>4508</v>
      </c>
      <c r="E211" s="35">
        <v>68</v>
      </c>
      <c r="F211" s="35">
        <f>1687+9</f>
        <v>1696</v>
      </c>
      <c r="G211" s="35">
        <v>110</v>
      </c>
      <c r="H211" s="35">
        <f t="shared" si="13"/>
        <v>6382</v>
      </c>
      <c r="I211" s="36">
        <v>23.5</v>
      </c>
    </row>
    <row r="212" spans="1:9" ht="12.75">
      <c r="A212" s="34" t="s">
        <v>482</v>
      </c>
      <c r="B212" s="121">
        <v>70885168</v>
      </c>
      <c r="C212" s="6">
        <v>3113</v>
      </c>
      <c r="D212" s="35">
        <f>5162+23</f>
        <v>5185</v>
      </c>
      <c r="E212" s="35">
        <v>30</v>
      </c>
      <c r="F212" s="35">
        <f>1941+9</f>
        <v>1950</v>
      </c>
      <c r="G212" s="35">
        <v>135</v>
      </c>
      <c r="H212" s="35">
        <f t="shared" si="13"/>
        <v>7300</v>
      </c>
      <c r="I212" s="36">
        <v>28.5</v>
      </c>
    </row>
    <row r="213" spans="1:9" ht="12.75">
      <c r="A213" s="5" t="s">
        <v>483</v>
      </c>
      <c r="B213" s="17">
        <v>61386618</v>
      </c>
      <c r="C213" s="6">
        <v>3113</v>
      </c>
      <c r="D213" s="7">
        <f>18637+95</f>
        <v>18732</v>
      </c>
      <c r="E213" s="7">
        <v>200</v>
      </c>
      <c r="F213" s="7">
        <f>7038+32</f>
        <v>7070</v>
      </c>
      <c r="G213" s="7">
        <v>573</v>
      </c>
      <c r="H213" s="7">
        <f t="shared" si="13"/>
        <v>26575</v>
      </c>
      <c r="I213" s="31">
        <v>107</v>
      </c>
    </row>
    <row r="214" spans="1:9" ht="12.75">
      <c r="A214" s="89" t="s">
        <v>484</v>
      </c>
      <c r="B214" s="19"/>
      <c r="C214" s="19"/>
      <c r="D214" s="19"/>
      <c r="E214" s="19"/>
      <c r="F214" s="19"/>
      <c r="G214" s="51"/>
      <c r="H214" s="119"/>
      <c r="I214" s="101"/>
    </row>
    <row r="215" spans="1:9" ht="12.75">
      <c r="A215" s="34" t="s">
        <v>485</v>
      </c>
      <c r="B215" s="121">
        <v>60434139</v>
      </c>
      <c r="C215" s="6">
        <v>3113</v>
      </c>
      <c r="D215" s="35">
        <f>7498+46</f>
        <v>7544</v>
      </c>
      <c r="E215" s="35">
        <v>11</v>
      </c>
      <c r="F215" s="35">
        <f>2807+18</f>
        <v>2825</v>
      </c>
      <c r="G215" s="96">
        <v>203</v>
      </c>
      <c r="H215" s="96">
        <f aca="true" t="shared" si="14" ref="H215:H224">+D215+E215+F215+G215</f>
        <v>10583</v>
      </c>
      <c r="I215" s="36">
        <v>44.5</v>
      </c>
    </row>
    <row r="216" spans="1:9" ht="12.75">
      <c r="A216" s="22" t="s">
        <v>486</v>
      </c>
      <c r="B216" s="24">
        <v>71008314</v>
      </c>
      <c r="C216" s="6">
        <v>3113</v>
      </c>
      <c r="D216" s="24">
        <v>1800</v>
      </c>
      <c r="E216" s="24">
        <v>0</v>
      </c>
      <c r="F216" s="24">
        <v>673</v>
      </c>
      <c r="G216" s="24">
        <v>52</v>
      </c>
      <c r="H216" s="35">
        <f t="shared" si="14"/>
        <v>2525</v>
      </c>
      <c r="I216" s="55">
        <v>10.3</v>
      </c>
    </row>
    <row r="217" spans="1:9" ht="12.75">
      <c r="A217" s="34" t="s">
        <v>487</v>
      </c>
      <c r="B217" s="121">
        <v>62930729</v>
      </c>
      <c r="C217" s="6">
        <v>3113</v>
      </c>
      <c r="D217" s="35">
        <f>8826+61</f>
        <v>8887</v>
      </c>
      <c r="E217" s="35">
        <v>4</v>
      </c>
      <c r="F217" s="35">
        <f>3306+23</f>
        <v>3329</v>
      </c>
      <c r="G217" s="35">
        <v>244</v>
      </c>
      <c r="H217" s="35">
        <f t="shared" si="14"/>
        <v>12464</v>
      </c>
      <c r="I217" s="36">
        <v>50</v>
      </c>
    </row>
    <row r="218" spans="1:9" ht="12.75">
      <c r="A218" s="34" t="s">
        <v>488</v>
      </c>
      <c r="B218" s="121">
        <v>47611332</v>
      </c>
      <c r="C218" s="6">
        <v>3113</v>
      </c>
      <c r="D218" s="35">
        <f>9009+61</f>
        <v>9070</v>
      </c>
      <c r="E218" s="35">
        <v>28</v>
      </c>
      <c r="F218" s="35">
        <f>3378+23</f>
        <v>3401</v>
      </c>
      <c r="G218" s="35">
        <v>242</v>
      </c>
      <c r="H218" s="35">
        <f t="shared" si="14"/>
        <v>12741</v>
      </c>
      <c r="I218" s="36">
        <v>52.5</v>
      </c>
    </row>
    <row r="219" spans="1:9" ht="12.75">
      <c r="A219" s="34" t="s">
        <v>489</v>
      </c>
      <c r="B219" s="121">
        <v>63831589</v>
      </c>
      <c r="C219" s="6">
        <v>3113</v>
      </c>
      <c r="D219" s="35">
        <f>8206+61</f>
        <v>8267</v>
      </c>
      <c r="E219" s="35">
        <v>6</v>
      </c>
      <c r="F219" s="35">
        <f>3068+23</f>
        <v>3091</v>
      </c>
      <c r="G219" s="35">
        <v>210</v>
      </c>
      <c r="H219" s="35">
        <f t="shared" si="14"/>
        <v>11574</v>
      </c>
      <c r="I219" s="36">
        <v>45</v>
      </c>
    </row>
    <row r="220" spans="1:9" ht="12.75">
      <c r="A220" s="5" t="s">
        <v>582</v>
      </c>
      <c r="B220" s="17">
        <v>70926280</v>
      </c>
      <c r="C220" s="6">
        <v>3113</v>
      </c>
      <c r="D220" s="7">
        <v>1745</v>
      </c>
      <c r="E220" s="7">
        <v>0</v>
      </c>
      <c r="F220" s="7">
        <v>653</v>
      </c>
      <c r="G220" s="7">
        <v>49</v>
      </c>
      <c r="H220" s="35">
        <f t="shared" si="14"/>
        <v>2447</v>
      </c>
      <c r="I220" s="31">
        <v>10</v>
      </c>
    </row>
    <row r="221" spans="1:9" ht="12.75">
      <c r="A221" s="34" t="s">
        <v>490</v>
      </c>
      <c r="B221" s="121">
        <v>63831686</v>
      </c>
      <c r="C221" s="6">
        <v>3113</v>
      </c>
      <c r="D221" s="35">
        <f>8089+46</f>
        <v>8135</v>
      </c>
      <c r="E221" s="35">
        <v>5</v>
      </c>
      <c r="F221" s="35">
        <f>3025+18</f>
        <v>3043</v>
      </c>
      <c r="G221" s="35">
        <v>237</v>
      </c>
      <c r="H221" s="35">
        <f t="shared" si="14"/>
        <v>11420</v>
      </c>
      <c r="I221" s="36">
        <v>46</v>
      </c>
    </row>
    <row r="222" spans="1:9" ht="12.75">
      <c r="A222" s="34" t="s">
        <v>491</v>
      </c>
      <c r="B222" s="121">
        <v>70888825</v>
      </c>
      <c r="C222" s="6">
        <v>3113</v>
      </c>
      <c r="D222" s="35">
        <f>4162+38</f>
        <v>4200</v>
      </c>
      <c r="E222" s="35">
        <v>30</v>
      </c>
      <c r="F222" s="35">
        <f>1564+14</f>
        <v>1578</v>
      </c>
      <c r="G222" s="35">
        <v>99</v>
      </c>
      <c r="H222" s="35">
        <f t="shared" si="14"/>
        <v>5907</v>
      </c>
      <c r="I222" s="36">
        <v>25</v>
      </c>
    </row>
    <row r="223" spans="1:9" ht="12.75">
      <c r="A223" s="34" t="s">
        <v>577</v>
      </c>
      <c r="B223" s="121">
        <v>70885451</v>
      </c>
      <c r="C223" s="6">
        <v>3113</v>
      </c>
      <c r="D223" s="35">
        <v>2315</v>
      </c>
      <c r="E223" s="35">
        <v>0</v>
      </c>
      <c r="F223" s="35">
        <v>868</v>
      </c>
      <c r="G223" s="35">
        <v>39</v>
      </c>
      <c r="H223" s="35">
        <f t="shared" si="14"/>
        <v>3222</v>
      </c>
      <c r="I223" s="36">
        <v>14</v>
      </c>
    </row>
    <row r="224" spans="1:9" ht="12.75">
      <c r="A224" s="5" t="s">
        <v>492</v>
      </c>
      <c r="B224" s="17">
        <v>63831678</v>
      </c>
      <c r="C224" s="6">
        <v>3113</v>
      </c>
      <c r="D224" s="7">
        <f>9630+95</f>
        <v>9725</v>
      </c>
      <c r="E224" s="7">
        <v>15</v>
      </c>
      <c r="F224" s="7">
        <f>3605+35</f>
        <v>3640</v>
      </c>
      <c r="G224" s="7">
        <v>289</v>
      </c>
      <c r="H224" s="7">
        <f t="shared" si="14"/>
        <v>13669</v>
      </c>
      <c r="I224" s="31">
        <v>55</v>
      </c>
    </row>
    <row r="225" spans="1:9" ht="12.75">
      <c r="A225" s="89" t="s">
        <v>493</v>
      </c>
      <c r="B225" s="19"/>
      <c r="C225" s="19"/>
      <c r="D225" s="19"/>
      <c r="E225" s="19"/>
      <c r="F225" s="19"/>
      <c r="G225" s="51"/>
      <c r="H225" s="119"/>
      <c r="I225" s="101"/>
    </row>
    <row r="226" spans="1:9" ht="12.75">
      <c r="A226" s="34" t="s">
        <v>494</v>
      </c>
      <c r="B226" s="121">
        <v>70108145</v>
      </c>
      <c r="C226" s="6">
        <v>3113</v>
      </c>
      <c r="D226" s="35">
        <f>4256+26</f>
        <v>4282</v>
      </c>
      <c r="E226" s="35">
        <v>50</v>
      </c>
      <c r="F226" s="35">
        <f>1610+9</f>
        <v>1619</v>
      </c>
      <c r="G226" s="96">
        <v>109</v>
      </c>
      <c r="H226" s="96">
        <f>+D226+E226+F226+G226</f>
        <v>6060</v>
      </c>
      <c r="I226" s="36">
        <v>23.5</v>
      </c>
    </row>
    <row r="227" spans="1:9" ht="12.75">
      <c r="A227" s="34" t="s">
        <v>495</v>
      </c>
      <c r="B227" s="121">
        <v>70837023</v>
      </c>
      <c r="C227" s="6">
        <v>3113</v>
      </c>
      <c r="D227" s="35">
        <f>5347+72</f>
        <v>5419</v>
      </c>
      <c r="E227" s="35">
        <v>10</v>
      </c>
      <c r="F227" s="35">
        <f>2003+26</f>
        <v>2029</v>
      </c>
      <c r="G227" s="35">
        <v>169</v>
      </c>
      <c r="H227" s="35">
        <f>+D227+E227+F227+G227</f>
        <v>7627</v>
      </c>
      <c r="I227" s="36">
        <v>30</v>
      </c>
    </row>
    <row r="228" spans="1:9" ht="12.75">
      <c r="A228" s="34" t="s">
        <v>496</v>
      </c>
      <c r="B228" s="121">
        <v>70874263</v>
      </c>
      <c r="C228" s="6">
        <v>3113</v>
      </c>
      <c r="D228" s="35">
        <f>8743+72</f>
        <v>8815</v>
      </c>
      <c r="E228" s="35">
        <v>134</v>
      </c>
      <c r="F228" s="35">
        <f>3314+26</f>
        <v>3340</v>
      </c>
      <c r="G228" s="35">
        <v>284</v>
      </c>
      <c r="H228" s="35">
        <f>+D228+E228+F228+G228</f>
        <v>12573</v>
      </c>
      <c r="I228" s="36">
        <v>51.5</v>
      </c>
    </row>
    <row r="229" spans="1:9" ht="12.75">
      <c r="A229" s="34" t="s">
        <v>497</v>
      </c>
      <c r="B229" s="121">
        <v>61386961</v>
      </c>
      <c r="C229" s="6">
        <v>3113</v>
      </c>
      <c r="D229" s="35">
        <v>4702</v>
      </c>
      <c r="E229" s="35">
        <v>19</v>
      </c>
      <c r="F229" s="35">
        <v>1765</v>
      </c>
      <c r="G229" s="35">
        <v>166</v>
      </c>
      <c r="H229" s="35">
        <f>+D229+E229+F229+G229</f>
        <v>6652</v>
      </c>
      <c r="I229" s="36">
        <v>26</v>
      </c>
    </row>
    <row r="230" spans="1:9" ht="12.75">
      <c r="A230" s="5" t="s">
        <v>498</v>
      </c>
      <c r="B230" s="17">
        <v>70107521</v>
      </c>
      <c r="C230" s="6">
        <v>3113</v>
      </c>
      <c r="D230" s="7">
        <f>4677+26</f>
        <v>4703</v>
      </c>
      <c r="E230" s="7">
        <v>46</v>
      </c>
      <c r="F230" s="7">
        <f>1762+9</f>
        <v>1771</v>
      </c>
      <c r="G230" s="7">
        <v>105</v>
      </c>
      <c r="H230" s="7">
        <f>+D230+E230+F230+G230</f>
        <v>6625</v>
      </c>
      <c r="I230" s="31">
        <v>29</v>
      </c>
    </row>
    <row r="231" spans="1:9" ht="12.75">
      <c r="A231" s="89" t="s">
        <v>499</v>
      </c>
      <c r="B231" s="19"/>
      <c r="C231" s="19"/>
      <c r="D231" s="19"/>
      <c r="E231" s="19"/>
      <c r="F231" s="19"/>
      <c r="G231" s="51"/>
      <c r="H231" s="119"/>
      <c r="I231" s="101"/>
    </row>
    <row r="232" spans="1:9" ht="12.75">
      <c r="A232" s="34" t="s">
        <v>500</v>
      </c>
      <c r="B232" s="121">
        <v>48133841</v>
      </c>
      <c r="C232" s="6">
        <v>3113</v>
      </c>
      <c r="D232" s="35">
        <f>9235+61+990</f>
        <v>10286</v>
      </c>
      <c r="E232" s="35">
        <v>200</v>
      </c>
      <c r="F232" s="35">
        <f>3526+23+370</f>
        <v>3919</v>
      </c>
      <c r="G232" s="96">
        <f>299+19</f>
        <v>318</v>
      </c>
      <c r="H232" s="96">
        <f>+D232+E232+F232+G232</f>
        <v>14723</v>
      </c>
      <c r="I232" s="36">
        <f>50+7.4</f>
        <v>57.4</v>
      </c>
    </row>
    <row r="233" spans="1:9" ht="12.75">
      <c r="A233" s="34" t="s">
        <v>501</v>
      </c>
      <c r="B233" s="121">
        <v>70845905</v>
      </c>
      <c r="C233" s="6">
        <v>3113</v>
      </c>
      <c r="D233" s="35">
        <v>3045</v>
      </c>
      <c r="E233" s="35">
        <v>12</v>
      </c>
      <c r="F233" s="35">
        <v>1141</v>
      </c>
      <c r="G233" s="35">
        <v>72</v>
      </c>
      <c r="H233" s="35">
        <f>+D233+E233+F233+G233</f>
        <v>4270</v>
      </c>
      <c r="I233" s="36">
        <v>19</v>
      </c>
    </row>
    <row r="234" spans="1:9" ht="13.5" thickBot="1">
      <c r="A234" s="9" t="s">
        <v>502</v>
      </c>
      <c r="B234" s="18">
        <v>48133876</v>
      </c>
      <c r="C234" s="10">
        <v>3113</v>
      </c>
      <c r="D234" s="11">
        <f>13718+84</f>
        <v>13802</v>
      </c>
      <c r="E234" s="11">
        <v>76</v>
      </c>
      <c r="F234" s="11">
        <f>5151+32</f>
        <v>5183</v>
      </c>
      <c r="G234" s="11">
        <v>382</v>
      </c>
      <c r="H234" s="11">
        <f>+D234+E234+F234+G234</f>
        <v>19443</v>
      </c>
      <c r="I234" s="117">
        <v>77.5</v>
      </c>
    </row>
    <row r="235" spans="1:9" ht="12.75" customHeight="1">
      <c r="A235" s="185" t="s">
        <v>11</v>
      </c>
      <c r="B235" s="187" t="s">
        <v>0</v>
      </c>
      <c r="C235" s="190" t="s">
        <v>17</v>
      </c>
      <c r="D235" s="187" t="s">
        <v>298</v>
      </c>
      <c r="E235" s="187"/>
      <c r="F235" s="187"/>
      <c r="G235" s="187"/>
      <c r="H235" s="187"/>
      <c r="I235" s="189"/>
    </row>
    <row r="236" spans="1:9" ht="26.25" thickBot="1">
      <c r="A236" s="186"/>
      <c r="B236" s="188"/>
      <c r="C236" s="191"/>
      <c r="D236" s="1" t="s">
        <v>2</v>
      </c>
      <c r="E236" s="1" t="s">
        <v>3</v>
      </c>
      <c r="F236" s="1" t="s">
        <v>4</v>
      </c>
      <c r="G236" s="1" t="s">
        <v>5</v>
      </c>
      <c r="H236" s="1" t="s">
        <v>6</v>
      </c>
      <c r="I236" s="2" t="s">
        <v>9</v>
      </c>
    </row>
    <row r="237" spans="1:9" ht="12.75">
      <c r="A237" s="110" t="s">
        <v>503</v>
      </c>
      <c r="B237" s="124">
        <v>48133868</v>
      </c>
      <c r="C237" s="6">
        <v>3113</v>
      </c>
      <c r="D237" s="96">
        <f>9127+61</f>
        <v>9188</v>
      </c>
      <c r="E237" s="96">
        <v>201</v>
      </c>
      <c r="F237" s="96">
        <f>3485+23</f>
        <v>3508</v>
      </c>
      <c r="G237" s="96">
        <v>263</v>
      </c>
      <c r="H237" s="35">
        <f>+D237+E237+F237+G237</f>
        <v>13160</v>
      </c>
      <c r="I237" s="125">
        <v>55</v>
      </c>
    </row>
    <row r="238" spans="1:9" ht="12.75">
      <c r="A238" s="5" t="s">
        <v>504</v>
      </c>
      <c r="B238" s="17">
        <v>48133884</v>
      </c>
      <c r="C238" s="6">
        <v>3113</v>
      </c>
      <c r="D238" s="7">
        <f>13433+95</f>
        <v>13528</v>
      </c>
      <c r="E238" s="7">
        <v>60</v>
      </c>
      <c r="F238" s="7">
        <f>5046+35</f>
        <v>5081</v>
      </c>
      <c r="G238" s="7">
        <v>396</v>
      </c>
      <c r="H238" s="7">
        <f>+D238+E238+F238+G238</f>
        <v>19065</v>
      </c>
      <c r="I238" s="31">
        <v>72</v>
      </c>
    </row>
    <row r="239" spans="1:9" ht="12.75">
      <c r="A239" s="89" t="s">
        <v>505</v>
      </c>
      <c r="B239" s="19"/>
      <c r="C239" s="19"/>
      <c r="D239" s="19"/>
      <c r="E239" s="19"/>
      <c r="F239" s="19"/>
      <c r="G239" s="51"/>
      <c r="H239" s="119"/>
      <c r="I239" s="101"/>
    </row>
    <row r="240" spans="1:9" ht="12.75">
      <c r="A240" s="34" t="s">
        <v>506</v>
      </c>
      <c r="B240" s="121">
        <v>63832151</v>
      </c>
      <c r="C240" s="6">
        <v>3113</v>
      </c>
      <c r="D240" s="35">
        <f>7241+46</f>
        <v>7287</v>
      </c>
      <c r="E240" s="35">
        <v>49</v>
      </c>
      <c r="F240" s="35">
        <f>2722+18</f>
        <v>2740</v>
      </c>
      <c r="G240" s="96">
        <v>196</v>
      </c>
      <c r="H240" s="96">
        <f>+D240+E240+F240+G240</f>
        <v>10272</v>
      </c>
      <c r="I240" s="36">
        <v>40</v>
      </c>
    </row>
    <row r="241" spans="1:9" ht="12.75">
      <c r="A241" s="34" t="s">
        <v>507</v>
      </c>
      <c r="B241" s="121">
        <v>60446005</v>
      </c>
      <c r="C241" s="6">
        <v>3113</v>
      </c>
      <c r="D241" s="35">
        <f>13703+72</f>
        <v>13775</v>
      </c>
      <c r="E241" s="35">
        <v>70</v>
      </c>
      <c r="F241" s="35">
        <f>5153+26</f>
        <v>5179</v>
      </c>
      <c r="G241" s="35">
        <v>350</v>
      </c>
      <c r="H241" s="35">
        <f>+D241+E241+F241+G241</f>
        <v>19374</v>
      </c>
      <c r="I241" s="36">
        <v>70</v>
      </c>
    </row>
    <row r="242" spans="1:9" ht="12.75">
      <c r="A242" s="5" t="s">
        <v>508</v>
      </c>
      <c r="B242" s="6">
        <v>60445939</v>
      </c>
      <c r="C242" s="6">
        <v>3113</v>
      </c>
      <c r="D242" s="7">
        <f>6891+35</f>
        <v>6926</v>
      </c>
      <c r="E242" s="7">
        <v>0</v>
      </c>
      <c r="F242" s="7">
        <f>2581+14</f>
        <v>2595</v>
      </c>
      <c r="G242" s="7">
        <v>186</v>
      </c>
      <c r="H242" s="7">
        <f>+D242+E242+F242+G242</f>
        <v>9707</v>
      </c>
      <c r="I242" s="31">
        <v>37</v>
      </c>
    </row>
    <row r="243" spans="1:9" ht="12.75">
      <c r="A243" s="89" t="s">
        <v>509</v>
      </c>
      <c r="B243" s="19"/>
      <c r="C243" s="19"/>
      <c r="D243" s="19"/>
      <c r="E243" s="19"/>
      <c r="F243" s="19"/>
      <c r="G243" s="48"/>
      <c r="H243" s="66"/>
      <c r="I243" s="101"/>
    </row>
    <row r="244" spans="1:9" ht="12.75">
      <c r="A244" s="34" t="s">
        <v>510</v>
      </c>
      <c r="B244" s="121">
        <v>61384780</v>
      </c>
      <c r="C244" s="6">
        <v>3113</v>
      </c>
      <c r="D244" s="35">
        <f>6776+35</f>
        <v>6811</v>
      </c>
      <c r="E244" s="35">
        <v>91</v>
      </c>
      <c r="F244" s="35">
        <f>2567+14</f>
        <v>2581</v>
      </c>
      <c r="G244" s="96">
        <v>190</v>
      </c>
      <c r="H244" s="96">
        <f>+D244+E244+F244+G244</f>
        <v>9673</v>
      </c>
      <c r="I244" s="36">
        <v>38</v>
      </c>
    </row>
    <row r="245" spans="1:9" ht="12.75">
      <c r="A245" s="34" t="s">
        <v>511</v>
      </c>
      <c r="B245" s="121">
        <v>65992911</v>
      </c>
      <c r="C245" s="6">
        <v>3113</v>
      </c>
      <c r="D245" s="35">
        <f>5303+23</f>
        <v>5326</v>
      </c>
      <c r="E245" s="35">
        <v>90</v>
      </c>
      <c r="F245" s="35">
        <f>2017+9</f>
        <v>2026</v>
      </c>
      <c r="G245" s="35">
        <v>153</v>
      </c>
      <c r="H245" s="35">
        <f>+D245+E245+F245+G245</f>
        <v>7595</v>
      </c>
      <c r="I245" s="36">
        <v>31</v>
      </c>
    </row>
    <row r="246" spans="1:9" ht="12.75">
      <c r="A246" s="34" t="s">
        <v>512</v>
      </c>
      <c r="B246" s="121">
        <v>70918805</v>
      </c>
      <c r="C246" s="6">
        <v>3113</v>
      </c>
      <c r="D246" s="35">
        <f>9603+72</f>
        <v>9675</v>
      </c>
      <c r="E246" s="35">
        <v>67</v>
      </c>
      <c r="F246" s="35">
        <f>3611+26</f>
        <v>3637</v>
      </c>
      <c r="G246" s="35">
        <v>306</v>
      </c>
      <c r="H246" s="35">
        <f>+D246+E246+F246+G246</f>
        <v>13685</v>
      </c>
      <c r="I246" s="36">
        <v>55</v>
      </c>
    </row>
    <row r="247" spans="1:9" ht="12.75">
      <c r="A247" s="5" t="s">
        <v>513</v>
      </c>
      <c r="B247" s="17">
        <v>60460865</v>
      </c>
      <c r="C247" s="6">
        <v>3113</v>
      </c>
      <c r="D247" s="7">
        <f>6985+23</f>
        <v>7008</v>
      </c>
      <c r="E247" s="7">
        <v>36</v>
      </c>
      <c r="F247" s="7">
        <f>2626+9</f>
        <v>2635</v>
      </c>
      <c r="G247" s="7">
        <v>176</v>
      </c>
      <c r="H247" s="7">
        <f>+D247+E247+F247+G247</f>
        <v>9855</v>
      </c>
      <c r="I247" s="31">
        <v>41</v>
      </c>
    </row>
    <row r="248" spans="1:9" ht="12.75">
      <c r="A248" s="89" t="s">
        <v>514</v>
      </c>
      <c r="B248" s="19"/>
      <c r="C248" s="19"/>
      <c r="D248" s="19"/>
      <c r="E248" s="19"/>
      <c r="F248" s="19"/>
      <c r="G248" s="51"/>
      <c r="H248" s="119"/>
      <c r="I248" s="101"/>
    </row>
    <row r="249" spans="1:9" ht="12.75">
      <c r="A249" s="34" t="s">
        <v>515</v>
      </c>
      <c r="B249" s="121">
        <v>49625195</v>
      </c>
      <c r="C249" s="6">
        <v>3113</v>
      </c>
      <c r="D249" s="35">
        <f>11352+61</f>
        <v>11413</v>
      </c>
      <c r="E249" s="35">
        <v>195</v>
      </c>
      <c r="F249" s="35">
        <f>4317+23</f>
        <v>4340</v>
      </c>
      <c r="G249" s="96">
        <v>334</v>
      </c>
      <c r="H249" s="96">
        <f>+D249+E249+F249+G249</f>
        <v>16282</v>
      </c>
      <c r="I249" s="36">
        <v>62</v>
      </c>
    </row>
    <row r="250" spans="1:9" ht="12.75">
      <c r="A250" s="34" t="s">
        <v>516</v>
      </c>
      <c r="B250" s="121">
        <v>63830825</v>
      </c>
      <c r="C250" s="6">
        <v>3113</v>
      </c>
      <c r="D250" s="35">
        <f>10661+72</f>
        <v>10733</v>
      </c>
      <c r="E250" s="35">
        <v>136</v>
      </c>
      <c r="F250" s="35">
        <f>4040+26</f>
        <v>4066</v>
      </c>
      <c r="G250" s="35">
        <v>341</v>
      </c>
      <c r="H250" s="35">
        <f>+D250+E250+F250+G250</f>
        <v>15276</v>
      </c>
      <c r="I250" s="36">
        <v>52</v>
      </c>
    </row>
    <row r="251" spans="1:9" ht="12.75">
      <c r="A251" s="34" t="s">
        <v>517</v>
      </c>
      <c r="B251" s="121">
        <v>63830817</v>
      </c>
      <c r="C251" s="6">
        <v>3113</v>
      </c>
      <c r="D251" s="35">
        <v>4574</v>
      </c>
      <c r="E251" s="35">
        <v>43</v>
      </c>
      <c r="F251" s="35">
        <v>1726</v>
      </c>
      <c r="G251" s="35">
        <v>117</v>
      </c>
      <c r="H251" s="35">
        <f>+D251+E251+F251+G251</f>
        <v>6460</v>
      </c>
      <c r="I251" s="36">
        <v>26</v>
      </c>
    </row>
    <row r="252" spans="1:9" ht="12.75">
      <c r="A252" s="5" t="s">
        <v>518</v>
      </c>
      <c r="B252" s="17">
        <v>63830809</v>
      </c>
      <c r="C252" s="6">
        <v>3113</v>
      </c>
      <c r="D252" s="7">
        <f>6641+46</f>
        <v>6687</v>
      </c>
      <c r="E252" s="7">
        <v>50</v>
      </c>
      <c r="F252" s="7">
        <f>2503+18</f>
        <v>2521</v>
      </c>
      <c r="G252" s="7">
        <v>191</v>
      </c>
      <c r="H252" s="7">
        <f>+D252+E252+F252+G252</f>
        <v>9449</v>
      </c>
      <c r="I252" s="31">
        <v>35</v>
      </c>
    </row>
    <row r="253" spans="1:9" ht="12.75">
      <c r="A253" s="89" t="s">
        <v>519</v>
      </c>
      <c r="B253" s="19"/>
      <c r="C253" s="19"/>
      <c r="D253" s="19"/>
      <c r="E253" s="19"/>
      <c r="F253" s="19"/>
      <c r="G253" s="51"/>
      <c r="H253" s="119"/>
      <c r="I253" s="101"/>
    </row>
    <row r="254" spans="1:9" ht="12.75">
      <c r="A254" s="34" t="s">
        <v>520</v>
      </c>
      <c r="B254" s="121">
        <v>70908133</v>
      </c>
      <c r="C254" s="6">
        <v>3113</v>
      </c>
      <c r="D254" s="35">
        <v>2618</v>
      </c>
      <c r="E254" s="35">
        <v>42</v>
      </c>
      <c r="F254" s="35">
        <v>993</v>
      </c>
      <c r="G254" s="96">
        <v>57</v>
      </c>
      <c r="H254" s="96">
        <f>+D254+E254+F254+G254</f>
        <v>3710</v>
      </c>
      <c r="I254" s="36">
        <v>15.6</v>
      </c>
    </row>
    <row r="255" spans="1:9" ht="12.75">
      <c r="A255" s="34" t="s">
        <v>521</v>
      </c>
      <c r="B255" s="121">
        <v>70902461</v>
      </c>
      <c r="C255" s="6">
        <v>3113</v>
      </c>
      <c r="D255" s="35">
        <f>4342+23</f>
        <v>4365</v>
      </c>
      <c r="E255" s="35">
        <v>34</v>
      </c>
      <c r="F255" s="35">
        <f>1636+9</f>
        <v>1645</v>
      </c>
      <c r="G255" s="35">
        <v>101</v>
      </c>
      <c r="H255" s="35">
        <f>+D255+E255+F255+G255</f>
        <v>6145</v>
      </c>
      <c r="I255" s="36">
        <v>25</v>
      </c>
    </row>
    <row r="256" spans="1:9" ht="12.75">
      <c r="A256" s="34" t="s">
        <v>522</v>
      </c>
      <c r="B256" s="121">
        <v>47608579</v>
      </c>
      <c r="C256" s="6">
        <v>3113</v>
      </c>
      <c r="D256" s="35">
        <f>11878+72</f>
        <v>11950</v>
      </c>
      <c r="E256" s="35">
        <v>92</v>
      </c>
      <c r="F256" s="35">
        <f>4468+26</f>
        <v>4494</v>
      </c>
      <c r="G256" s="35">
        <v>338</v>
      </c>
      <c r="H256" s="35">
        <f>+D256+E256+F256+G256</f>
        <v>16874</v>
      </c>
      <c r="I256" s="36">
        <v>66</v>
      </c>
    </row>
    <row r="257" spans="1:9" ht="12.75">
      <c r="A257" s="5" t="s">
        <v>523</v>
      </c>
      <c r="B257" s="17">
        <v>63833956</v>
      </c>
      <c r="C257" s="6">
        <v>3113</v>
      </c>
      <c r="D257" s="7">
        <f>6688+35</f>
        <v>6723</v>
      </c>
      <c r="E257" s="7">
        <v>27</v>
      </c>
      <c r="F257" s="7">
        <f>2513+14</f>
        <v>2527</v>
      </c>
      <c r="G257" s="7">
        <v>210</v>
      </c>
      <c r="H257" s="7">
        <f>+D257+E257+F257+G257</f>
        <v>9487</v>
      </c>
      <c r="I257" s="31">
        <v>35</v>
      </c>
    </row>
    <row r="258" spans="1:9" ht="12.75">
      <c r="A258" s="89" t="s">
        <v>524</v>
      </c>
      <c r="B258" s="19"/>
      <c r="C258" s="19"/>
      <c r="D258" s="19"/>
      <c r="E258" s="19"/>
      <c r="F258" s="19"/>
      <c r="G258" s="51"/>
      <c r="H258" s="119"/>
      <c r="I258" s="101"/>
    </row>
    <row r="259" spans="1:9" ht="12.75">
      <c r="A259" s="34" t="s">
        <v>525</v>
      </c>
      <c r="B259" s="121">
        <v>70926921</v>
      </c>
      <c r="C259" s="6">
        <v>3113</v>
      </c>
      <c r="D259" s="35">
        <v>2337</v>
      </c>
      <c r="E259" s="35">
        <v>60</v>
      </c>
      <c r="F259" s="35">
        <v>894</v>
      </c>
      <c r="G259" s="96">
        <v>62</v>
      </c>
      <c r="H259" s="96">
        <f>+D259+E259+F259+G259</f>
        <v>3353</v>
      </c>
      <c r="I259" s="36">
        <v>14.5</v>
      </c>
    </row>
    <row r="260" spans="1:9" ht="12.75">
      <c r="A260" s="34" t="s">
        <v>526</v>
      </c>
      <c r="B260" s="121">
        <v>62933540</v>
      </c>
      <c r="C260" s="6">
        <v>3113</v>
      </c>
      <c r="D260" s="35">
        <f>7131+46</f>
        <v>7177</v>
      </c>
      <c r="E260" s="35">
        <v>30</v>
      </c>
      <c r="F260" s="35">
        <f>2681+18</f>
        <v>2699</v>
      </c>
      <c r="G260" s="35">
        <v>208</v>
      </c>
      <c r="H260" s="35">
        <f>+D260+E260+F260+G260</f>
        <v>10114</v>
      </c>
      <c r="I260" s="36">
        <v>38</v>
      </c>
    </row>
    <row r="261" spans="1:9" ht="13.5" thickBot="1">
      <c r="A261" s="9" t="s">
        <v>527</v>
      </c>
      <c r="B261" s="10">
        <v>62933671</v>
      </c>
      <c r="C261" s="10">
        <v>3113</v>
      </c>
      <c r="D261" s="11">
        <f>3738+26</f>
        <v>3764</v>
      </c>
      <c r="E261" s="11">
        <v>48</v>
      </c>
      <c r="F261" s="11">
        <f>1410+9</f>
        <v>1419</v>
      </c>
      <c r="G261" s="11">
        <v>102</v>
      </c>
      <c r="H261" s="11">
        <f>+D261+E261+F261+G261</f>
        <v>5333</v>
      </c>
      <c r="I261" s="117">
        <v>20</v>
      </c>
    </row>
    <row r="262" spans="1:9" ht="13.5" thickBot="1">
      <c r="A262" s="130"/>
      <c r="B262" s="116"/>
      <c r="C262" s="116"/>
      <c r="D262" s="111">
        <f aca="true" t="shared" si="15" ref="D262:I262">SUM(D6:D261)</f>
        <v>1781120</v>
      </c>
      <c r="E262" s="111">
        <f t="shared" si="15"/>
        <v>14700</v>
      </c>
      <c r="F262" s="111">
        <f t="shared" si="15"/>
        <v>670931</v>
      </c>
      <c r="G262" s="111">
        <f t="shared" si="15"/>
        <v>51038</v>
      </c>
      <c r="H262" s="111">
        <f t="shared" si="15"/>
        <v>2517789</v>
      </c>
      <c r="I262" s="112">
        <f t="shared" si="15"/>
        <v>10062.8</v>
      </c>
    </row>
    <row r="263" ht="12.75">
      <c r="H263" s="131"/>
    </row>
  </sheetData>
  <mergeCells count="28">
    <mergeCell ref="A235:A236"/>
    <mergeCell ref="B235:B236"/>
    <mergeCell ref="C235:C236"/>
    <mergeCell ref="D235:I235"/>
    <mergeCell ref="A196:A197"/>
    <mergeCell ref="B196:B197"/>
    <mergeCell ref="C196:C197"/>
    <mergeCell ref="D196:I196"/>
    <mergeCell ref="A157:A158"/>
    <mergeCell ref="B157:B158"/>
    <mergeCell ref="C157:C158"/>
    <mergeCell ref="D157:I157"/>
    <mergeCell ref="A118:A119"/>
    <mergeCell ref="B118:B119"/>
    <mergeCell ref="C118:C119"/>
    <mergeCell ref="D118:I118"/>
    <mergeCell ref="A79:A80"/>
    <mergeCell ref="B79:B80"/>
    <mergeCell ref="C79:C80"/>
    <mergeCell ref="D79:I79"/>
    <mergeCell ref="A40:A41"/>
    <mergeCell ref="B40:B41"/>
    <mergeCell ref="C40:C41"/>
    <mergeCell ref="D40:I40"/>
    <mergeCell ref="A2:A3"/>
    <mergeCell ref="B2:B3"/>
    <mergeCell ref="C2:C3"/>
    <mergeCell ref="D2:I2"/>
  </mergeCells>
  <printOptions horizontalCentered="1"/>
  <pageMargins left="0.7874015748031497" right="0.7874015748031497" top="0.984251968503937" bottom="0.93" header="0.5118110236220472" footer="0.5118110236220472"/>
  <pageSetup horizontalDpi="300" verticalDpi="300" orientation="landscape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30"/>
  <sheetViews>
    <sheetView zoomScale="75" zoomScaleNormal="75" workbookViewId="0" topLeftCell="A1">
      <selection activeCell="B1" sqref="B1"/>
    </sheetView>
  </sheetViews>
  <sheetFormatPr defaultColWidth="9.00390625" defaultRowHeight="12.75"/>
  <cols>
    <col min="1" max="1" width="32.75390625" style="0" customWidth="1"/>
    <col min="2" max="2" width="10.875" style="0" customWidth="1"/>
    <col min="3" max="3" width="9.75390625" style="0" customWidth="1"/>
    <col min="4" max="4" width="11.875" style="0" customWidth="1"/>
    <col min="5" max="5" width="10.25390625" style="0" customWidth="1"/>
    <col min="6" max="6" width="11.625" style="0" customWidth="1"/>
    <col min="7" max="7" width="9.875" style="0" customWidth="1"/>
    <col min="8" max="8" width="10.75390625" style="0" customWidth="1"/>
    <col min="9" max="10" width="0" style="0" hidden="1" customWidth="1"/>
  </cols>
  <sheetData>
    <row r="1" ht="13.5" thickBot="1"/>
    <row r="2" spans="1:10" ht="12.75">
      <c r="A2" s="196" t="s">
        <v>529</v>
      </c>
      <c r="B2" s="198" t="s">
        <v>0</v>
      </c>
      <c r="C2" s="200" t="s">
        <v>537</v>
      </c>
      <c r="D2" s="201"/>
      <c r="E2" s="201"/>
      <c r="F2" s="201"/>
      <c r="G2" s="201"/>
      <c r="H2" s="202"/>
      <c r="I2" s="201" t="s">
        <v>537</v>
      </c>
      <c r="J2" s="202"/>
    </row>
    <row r="3" spans="1:10" ht="26.25" thickBot="1">
      <c r="A3" s="197"/>
      <c r="B3" s="199"/>
      <c r="C3" s="133" t="s">
        <v>1</v>
      </c>
      <c r="D3" s="133" t="s">
        <v>2</v>
      </c>
      <c r="E3" s="133" t="s">
        <v>3</v>
      </c>
      <c r="F3" s="133" t="s">
        <v>4</v>
      </c>
      <c r="G3" s="133" t="s">
        <v>5</v>
      </c>
      <c r="H3" s="134" t="s">
        <v>6</v>
      </c>
      <c r="I3" s="165" t="s">
        <v>7</v>
      </c>
      <c r="J3" s="134" t="s">
        <v>6</v>
      </c>
    </row>
    <row r="4" spans="1:10" ht="12.75">
      <c r="A4" s="3" t="s">
        <v>12</v>
      </c>
      <c r="B4" s="166"/>
      <c r="C4" s="167"/>
      <c r="D4" s="167"/>
      <c r="E4" s="167"/>
      <c r="F4" s="167"/>
      <c r="G4" s="167"/>
      <c r="H4" s="168"/>
      <c r="I4" s="169"/>
      <c r="J4" s="168"/>
    </row>
    <row r="5" spans="1:10" ht="12.75">
      <c r="A5" s="22" t="s">
        <v>538</v>
      </c>
      <c r="B5" s="24">
        <v>63832968</v>
      </c>
      <c r="C5" s="24">
        <v>6.5</v>
      </c>
      <c r="D5" s="24">
        <v>835</v>
      </c>
      <c r="E5" s="24">
        <v>6</v>
      </c>
      <c r="F5" s="24">
        <v>315</v>
      </c>
      <c r="G5" s="24">
        <v>19</v>
      </c>
      <c r="H5" s="8">
        <v>1175</v>
      </c>
      <c r="I5" s="21"/>
      <c r="J5" s="8">
        <f>+H5+I5</f>
        <v>1175</v>
      </c>
    </row>
    <row r="6" spans="1:10" ht="12.75">
      <c r="A6" s="22" t="s">
        <v>539</v>
      </c>
      <c r="B6" s="24">
        <v>63833140</v>
      </c>
      <c r="C6" s="24">
        <v>7.2</v>
      </c>
      <c r="D6" s="24">
        <v>924</v>
      </c>
      <c r="E6" s="24">
        <v>0</v>
      </c>
      <c r="F6" s="24">
        <v>347</v>
      </c>
      <c r="G6" s="24">
        <v>15</v>
      </c>
      <c r="H6" s="8">
        <v>1286</v>
      </c>
      <c r="I6" s="21"/>
      <c r="J6" s="8">
        <f aca="true" t="shared" si="0" ref="J6:J29">+H6+I6</f>
        <v>1286</v>
      </c>
    </row>
    <row r="7" spans="1:10" ht="12.75">
      <c r="A7" s="22" t="s">
        <v>540</v>
      </c>
      <c r="B7" s="24">
        <v>60449632</v>
      </c>
      <c r="C7" s="24">
        <v>5.6</v>
      </c>
      <c r="D7" s="24">
        <v>829</v>
      </c>
      <c r="E7" s="24">
        <v>0</v>
      </c>
      <c r="F7" s="24">
        <v>312</v>
      </c>
      <c r="G7" s="24">
        <v>15</v>
      </c>
      <c r="H7" s="8">
        <v>1156</v>
      </c>
      <c r="I7" s="21"/>
      <c r="J7" s="8">
        <f t="shared" si="0"/>
        <v>1156</v>
      </c>
    </row>
    <row r="8" spans="1:10" ht="12.75">
      <c r="A8" s="22" t="s">
        <v>541</v>
      </c>
      <c r="B8" s="24">
        <v>67365884</v>
      </c>
      <c r="C8" s="24">
        <v>12</v>
      </c>
      <c r="D8" s="39">
        <v>1442</v>
      </c>
      <c r="E8" s="24">
        <v>0</v>
      </c>
      <c r="F8" s="24">
        <v>540</v>
      </c>
      <c r="G8" s="24">
        <v>30</v>
      </c>
      <c r="H8" s="8">
        <v>2012</v>
      </c>
      <c r="I8" s="21"/>
      <c r="J8" s="8">
        <f t="shared" si="0"/>
        <v>2012</v>
      </c>
    </row>
    <row r="9" spans="1:10" ht="12.75">
      <c r="A9" s="22" t="s">
        <v>542</v>
      </c>
      <c r="B9" s="24">
        <v>63833123</v>
      </c>
      <c r="C9" s="24">
        <v>10.1</v>
      </c>
      <c r="D9" s="39">
        <v>1339</v>
      </c>
      <c r="E9" s="24">
        <v>0</v>
      </c>
      <c r="F9" s="24">
        <v>503</v>
      </c>
      <c r="G9" s="24">
        <v>30</v>
      </c>
      <c r="H9" s="8">
        <v>1872</v>
      </c>
      <c r="I9" s="21"/>
      <c r="J9" s="8">
        <f t="shared" si="0"/>
        <v>1872</v>
      </c>
    </row>
    <row r="10" spans="1:10" ht="12.75">
      <c r="A10" s="22" t="s">
        <v>543</v>
      </c>
      <c r="B10" s="24">
        <v>63833131</v>
      </c>
      <c r="C10" s="24">
        <v>11</v>
      </c>
      <c r="D10" s="39">
        <v>1415</v>
      </c>
      <c r="E10" s="24">
        <v>4</v>
      </c>
      <c r="F10" s="24">
        <v>529</v>
      </c>
      <c r="G10" s="24">
        <v>23</v>
      </c>
      <c r="H10" s="8">
        <v>1971</v>
      </c>
      <c r="I10" s="21"/>
      <c r="J10" s="8">
        <f t="shared" si="0"/>
        <v>1971</v>
      </c>
    </row>
    <row r="11" spans="1:10" ht="12.75">
      <c r="A11" s="22" t="s">
        <v>544</v>
      </c>
      <c r="B11" s="24">
        <v>49624601</v>
      </c>
      <c r="C11" s="24">
        <v>5.2</v>
      </c>
      <c r="D11" s="24">
        <v>787</v>
      </c>
      <c r="E11" s="24">
        <v>0</v>
      </c>
      <c r="F11" s="24">
        <v>295</v>
      </c>
      <c r="G11" s="24">
        <v>11</v>
      </c>
      <c r="H11" s="8">
        <v>1093</v>
      </c>
      <c r="I11" s="21"/>
      <c r="J11" s="8">
        <f t="shared" si="0"/>
        <v>1093</v>
      </c>
    </row>
    <row r="12" spans="1:10" ht="12.75">
      <c r="A12" s="22" t="s">
        <v>545</v>
      </c>
      <c r="B12" s="24">
        <v>49624741</v>
      </c>
      <c r="C12" s="24">
        <v>6.3</v>
      </c>
      <c r="D12" s="24">
        <v>920</v>
      </c>
      <c r="E12" s="24">
        <v>30</v>
      </c>
      <c r="F12" s="24">
        <v>356</v>
      </c>
      <c r="G12" s="24">
        <v>12</v>
      </c>
      <c r="H12" s="8">
        <v>1318</v>
      </c>
      <c r="I12" s="21"/>
      <c r="J12" s="8">
        <f t="shared" si="0"/>
        <v>1318</v>
      </c>
    </row>
    <row r="13" spans="1:10" ht="12.75">
      <c r="A13" s="22" t="s">
        <v>546</v>
      </c>
      <c r="B13" s="24">
        <v>49624482</v>
      </c>
      <c r="C13" s="24">
        <v>9.4</v>
      </c>
      <c r="D13" s="39">
        <v>1318</v>
      </c>
      <c r="E13" s="24">
        <v>0</v>
      </c>
      <c r="F13" s="24">
        <v>493</v>
      </c>
      <c r="G13" s="24">
        <v>24</v>
      </c>
      <c r="H13" s="8">
        <v>1835</v>
      </c>
      <c r="I13" s="21"/>
      <c r="J13" s="8">
        <f t="shared" si="0"/>
        <v>1835</v>
      </c>
    </row>
    <row r="14" spans="1:10" ht="12.75">
      <c r="A14" s="22" t="s">
        <v>547</v>
      </c>
      <c r="B14" s="24">
        <v>67799221</v>
      </c>
      <c r="C14" s="24">
        <v>5.6</v>
      </c>
      <c r="D14" s="24">
        <v>811</v>
      </c>
      <c r="E14" s="24">
        <v>0</v>
      </c>
      <c r="F14" s="24">
        <v>303</v>
      </c>
      <c r="G14" s="24">
        <v>10</v>
      </c>
      <c r="H14" s="8">
        <v>1124</v>
      </c>
      <c r="I14" s="21"/>
      <c r="J14" s="8">
        <f t="shared" si="0"/>
        <v>1124</v>
      </c>
    </row>
    <row r="15" spans="1:10" ht="12.75">
      <c r="A15" s="22" t="s">
        <v>548</v>
      </c>
      <c r="B15" s="24">
        <v>70891192</v>
      </c>
      <c r="C15" s="24">
        <v>5.3</v>
      </c>
      <c r="D15" s="24">
        <v>780</v>
      </c>
      <c r="E15" s="24">
        <v>15</v>
      </c>
      <c r="F15" s="24">
        <v>297</v>
      </c>
      <c r="G15" s="24">
        <v>10</v>
      </c>
      <c r="H15" s="8">
        <v>1102</v>
      </c>
      <c r="I15" s="21"/>
      <c r="J15" s="8">
        <f t="shared" si="0"/>
        <v>1102</v>
      </c>
    </row>
    <row r="16" spans="1:10" ht="12.75">
      <c r="A16" s="22" t="s">
        <v>549</v>
      </c>
      <c r="B16" s="24">
        <v>47609907</v>
      </c>
      <c r="C16" s="24">
        <v>13.9</v>
      </c>
      <c r="D16" s="39">
        <v>1838</v>
      </c>
      <c r="E16" s="24">
        <v>12</v>
      </c>
      <c r="F16" s="24">
        <v>691</v>
      </c>
      <c r="G16" s="24">
        <v>45</v>
      </c>
      <c r="H16" s="8">
        <v>2586</v>
      </c>
      <c r="I16" s="21"/>
      <c r="J16" s="8">
        <f t="shared" si="0"/>
        <v>2586</v>
      </c>
    </row>
    <row r="17" spans="1:10" ht="12.75">
      <c r="A17" s="22" t="s">
        <v>550</v>
      </c>
      <c r="B17" s="24">
        <v>49624610</v>
      </c>
      <c r="C17" s="24">
        <v>6.4</v>
      </c>
      <c r="D17" s="24">
        <v>940</v>
      </c>
      <c r="E17" s="24">
        <v>0</v>
      </c>
      <c r="F17" s="24">
        <v>352</v>
      </c>
      <c r="G17" s="24">
        <v>11</v>
      </c>
      <c r="H17" s="8">
        <v>1303</v>
      </c>
      <c r="I17" s="21"/>
      <c r="J17" s="8">
        <f t="shared" si="0"/>
        <v>1303</v>
      </c>
    </row>
    <row r="18" spans="1:10" ht="12.75">
      <c r="A18" s="22" t="s">
        <v>551</v>
      </c>
      <c r="B18" s="24">
        <v>60460997</v>
      </c>
      <c r="C18" s="24">
        <v>8.8</v>
      </c>
      <c r="D18" s="39">
        <v>1207</v>
      </c>
      <c r="E18" s="24">
        <v>0</v>
      </c>
      <c r="F18" s="24">
        <v>451</v>
      </c>
      <c r="G18" s="24">
        <v>34</v>
      </c>
      <c r="H18" s="8">
        <v>1692</v>
      </c>
      <c r="I18" s="21"/>
      <c r="J18" s="8">
        <f t="shared" si="0"/>
        <v>1692</v>
      </c>
    </row>
    <row r="19" spans="1:10" ht="12.75">
      <c r="A19" s="22" t="s">
        <v>552</v>
      </c>
      <c r="B19" s="24">
        <v>67364195</v>
      </c>
      <c r="C19" s="24">
        <v>6.4</v>
      </c>
      <c r="D19" s="24">
        <v>922</v>
      </c>
      <c r="E19" s="24">
        <v>0</v>
      </c>
      <c r="F19" s="24">
        <v>345</v>
      </c>
      <c r="G19" s="24">
        <v>11</v>
      </c>
      <c r="H19" s="8">
        <v>1278</v>
      </c>
      <c r="I19" s="21"/>
      <c r="J19" s="8">
        <f t="shared" si="0"/>
        <v>1278</v>
      </c>
    </row>
    <row r="20" spans="1:10" ht="12.75">
      <c r="A20" s="22" t="s">
        <v>553</v>
      </c>
      <c r="B20" s="24">
        <v>65398581</v>
      </c>
      <c r="C20" s="24">
        <v>6.7</v>
      </c>
      <c r="D20" s="24">
        <v>914</v>
      </c>
      <c r="E20" s="24">
        <v>10</v>
      </c>
      <c r="F20" s="24">
        <v>346</v>
      </c>
      <c r="G20" s="24">
        <v>17</v>
      </c>
      <c r="H20" s="8">
        <v>1287</v>
      </c>
      <c r="I20" s="21"/>
      <c r="J20" s="8">
        <f t="shared" si="0"/>
        <v>1287</v>
      </c>
    </row>
    <row r="21" spans="1:10" ht="12.75">
      <c r="A21" s="22" t="s">
        <v>554</v>
      </c>
      <c r="B21" s="24">
        <v>70879273</v>
      </c>
      <c r="C21" s="24">
        <v>5.2</v>
      </c>
      <c r="D21" s="24">
        <v>750</v>
      </c>
      <c r="E21" s="24">
        <v>28</v>
      </c>
      <c r="F21" s="24">
        <v>291</v>
      </c>
      <c r="G21" s="24">
        <v>10</v>
      </c>
      <c r="H21" s="8">
        <v>1079</v>
      </c>
      <c r="I21" s="21"/>
      <c r="J21" s="8">
        <f t="shared" si="0"/>
        <v>1079</v>
      </c>
    </row>
    <row r="22" spans="1:10" ht="12.75">
      <c r="A22" s="22" t="s">
        <v>555</v>
      </c>
      <c r="B22" s="24">
        <v>70874255</v>
      </c>
      <c r="C22" s="24">
        <v>10.7</v>
      </c>
      <c r="D22" s="39">
        <v>1339</v>
      </c>
      <c r="E22" s="24">
        <v>20</v>
      </c>
      <c r="F22" s="24">
        <v>507</v>
      </c>
      <c r="G22" s="24">
        <v>29</v>
      </c>
      <c r="H22" s="8">
        <v>1895</v>
      </c>
      <c r="I22" s="21"/>
      <c r="J22" s="8">
        <f t="shared" si="0"/>
        <v>1895</v>
      </c>
    </row>
    <row r="23" spans="1:10" ht="12.75">
      <c r="A23" s="22" t="s">
        <v>556</v>
      </c>
      <c r="B23" s="24">
        <v>63829894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8">
        <v>0</v>
      </c>
      <c r="I23" s="21"/>
      <c r="J23" s="8">
        <f t="shared" si="0"/>
        <v>0</v>
      </c>
    </row>
    <row r="24" spans="1:10" ht="12.75">
      <c r="A24" s="22" t="s">
        <v>557</v>
      </c>
      <c r="B24" s="24">
        <v>63829886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55">
        <v>0</v>
      </c>
      <c r="I24" s="21"/>
      <c r="J24" s="8">
        <f t="shared" si="0"/>
        <v>0</v>
      </c>
    </row>
    <row r="25" spans="1:10" ht="12.75">
      <c r="A25" s="22" t="s">
        <v>558</v>
      </c>
      <c r="B25" s="24">
        <v>48132519</v>
      </c>
      <c r="C25" s="24">
        <v>8.6</v>
      </c>
      <c r="D25" s="39">
        <v>1072</v>
      </c>
      <c r="E25" s="24">
        <v>0</v>
      </c>
      <c r="F25" s="24">
        <v>401</v>
      </c>
      <c r="G25" s="24">
        <v>17</v>
      </c>
      <c r="H25" s="8">
        <v>1490</v>
      </c>
      <c r="I25" s="21"/>
      <c r="J25" s="8">
        <f t="shared" si="0"/>
        <v>1490</v>
      </c>
    </row>
    <row r="26" spans="1:10" ht="12.75">
      <c r="A26" s="22" t="s">
        <v>559</v>
      </c>
      <c r="B26" s="24">
        <v>48132501</v>
      </c>
      <c r="C26" s="24">
        <v>9.7</v>
      </c>
      <c r="D26" s="39">
        <v>1263</v>
      </c>
      <c r="E26" s="24">
        <v>0</v>
      </c>
      <c r="F26" s="24">
        <v>472</v>
      </c>
      <c r="G26" s="24">
        <v>18</v>
      </c>
      <c r="H26" s="8">
        <v>1753</v>
      </c>
      <c r="I26" s="21"/>
      <c r="J26" s="8">
        <f t="shared" si="0"/>
        <v>1753</v>
      </c>
    </row>
    <row r="27" spans="1:10" ht="12.75">
      <c r="A27" s="22" t="s">
        <v>560</v>
      </c>
      <c r="B27" s="24">
        <v>48132497</v>
      </c>
      <c r="C27" s="24">
        <v>7.3</v>
      </c>
      <c r="D27" s="24">
        <v>990</v>
      </c>
      <c r="E27" s="24">
        <v>0</v>
      </c>
      <c r="F27" s="24">
        <v>370</v>
      </c>
      <c r="G27" s="24">
        <v>15</v>
      </c>
      <c r="H27" s="8">
        <v>1375</v>
      </c>
      <c r="I27" s="21"/>
      <c r="J27" s="8">
        <f t="shared" si="0"/>
        <v>1375</v>
      </c>
    </row>
    <row r="28" spans="1:10" ht="12.75">
      <c r="A28" s="22" t="s">
        <v>561</v>
      </c>
      <c r="B28" s="24">
        <v>70971382</v>
      </c>
      <c r="C28" s="24">
        <v>9.2</v>
      </c>
      <c r="D28" s="39">
        <v>1190</v>
      </c>
      <c r="E28" s="24">
        <v>0</v>
      </c>
      <c r="F28" s="24">
        <v>444</v>
      </c>
      <c r="G28" s="24">
        <v>22</v>
      </c>
      <c r="H28" s="8">
        <v>1656</v>
      </c>
      <c r="I28" s="21"/>
      <c r="J28" s="8">
        <f t="shared" si="0"/>
        <v>1656</v>
      </c>
    </row>
    <row r="29" spans="1:10" ht="13.5" thickBot="1">
      <c r="A29" s="25" t="s">
        <v>562</v>
      </c>
      <c r="B29" s="26">
        <v>63831481</v>
      </c>
      <c r="C29" s="26">
        <v>3.7</v>
      </c>
      <c r="D29" s="11">
        <v>387</v>
      </c>
      <c r="E29" s="26">
        <v>0</v>
      </c>
      <c r="F29" s="26">
        <v>141</v>
      </c>
      <c r="G29" s="26">
        <v>12</v>
      </c>
      <c r="H29" s="12">
        <v>540</v>
      </c>
      <c r="I29" s="27"/>
      <c r="J29" s="13">
        <f t="shared" si="0"/>
        <v>540</v>
      </c>
    </row>
    <row r="30" spans="1:10" ht="13.5" thickBot="1">
      <c r="A30" s="161" t="s">
        <v>528</v>
      </c>
      <c r="B30" s="162"/>
      <c r="C30" s="162">
        <f>SUM(C5:C29)</f>
        <v>180.79999999999995</v>
      </c>
      <c r="D30" s="97">
        <f aca="true" t="shared" si="1" ref="D30:J30">SUM(D5:D29)</f>
        <v>24212</v>
      </c>
      <c r="E30" s="97">
        <f t="shared" si="1"/>
        <v>125</v>
      </c>
      <c r="F30" s="97">
        <f t="shared" si="1"/>
        <v>9101</v>
      </c>
      <c r="G30" s="97">
        <f t="shared" si="1"/>
        <v>440</v>
      </c>
      <c r="H30" s="160">
        <f t="shared" si="1"/>
        <v>33878</v>
      </c>
      <c r="I30" s="170">
        <f t="shared" si="1"/>
        <v>0</v>
      </c>
      <c r="J30" s="160">
        <f t="shared" si="1"/>
        <v>33878</v>
      </c>
    </row>
  </sheetData>
  <mergeCells count="4">
    <mergeCell ref="A2:A3"/>
    <mergeCell ref="B2:B3"/>
    <mergeCell ref="C2:H2"/>
    <mergeCell ref="I2:J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2"/>
  <sheetViews>
    <sheetView zoomScale="75" zoomScaleNormal="75" workbookViewId="0" topLeftCell="A1">
      <selection activeCell="B1" sqref="B1"/>
    </sheetView>
  </sheetViews>
  <sheetFormatPr defaultColWidth="9.00390625" defaultRowHeight="12.75"/>
  <cols>
    <col min="1" max="1" width="31.875" style="0" customWidth="1"/>
    <col min="2" max="2" width="12.75390625" style="0" customWidth="1"/>
    <col min="3" max="3" width="8.875" style="0" customWidth="1"/>
    <col min="4" max="4" width="9.00390625" style="0" customWidth="1"/>
    <col min="7" max="7" width="9.625" style="0" customWidth="1"/>
    <col min="8" max="8" width="8.875" style="0" customWidth="1"/>
    <col min="9" max="9" width="11.25390625" style="0" hidden="1" customWidth="1"/>
    <col min="10" max="10" width="11.875" style="0" hidden="1" customWidth="1"/>
  </cols>
  <sheetData>
    <row r="1" ht="13.5" thickBot="1"/>
    <row r="2" spans="1:10" ht="12.75">
      <c r="A2" s="203" t="s">
        <v>11</v>
      </c>
      <c r="B2" s="205" t="s">
        <v>0</v>
      </c>
      <c r="C2" s="187" t="s">
        <v>530</v>
      </c>
      <c r="D2" s="207"/>
      <c r="E2" s="207"/>
      <c r="F2" s="207"/>
      <c r="G2" s="207"/>
      <c r="H2" s="208"/>
      <c r="I2" s="209" t="s">
        <v>530</v>
      </c>
      <c r="J2" s="189"/>
    </row>
    <row r="3" spans="1:10" ht="26.25" thickBot="1">
      <c r="A3" s="204"/>
      <c r="B3" s="206"/>
      <c r="C3" s="150" t="s">
        <v>531</v>
      </c>
      <c r="D3" s="133" t="s">
        <v>2</v>
      </c>
      <c r="E3" s="133" t="s">
        <v>3</v>
      </c>
      <c r="F3" s="133" t="s">
        <v>4</v>
      </c>
      <c r="G3" s="133" t="s">
        <v>532</v>
      </c>
      <c r="H3" s="134" t="s">
        <v>6</v>
      </c>
      <c r="I3" s="137" t="s">
        <v>533</v>
      </c>
      <c r="J3" s="141" t="s">
        <v>6</v>
      </c>
    </row>
    <row r="4" spans="1:10" ht="12.75">
      <c r="A4" s="135" t="s">
        <v>535</v>
      </c>
      <c r="B4" s="23"/>
      <c r="C4" s="23"/>
      <c r="D4" s="23"/>
      <c r="E4" s="23"/>
      <c r="F4" s="23"/>
      <c r="G4" s="23"/>
      <c r="H4" s="4"/>
      <c r="I4" s="3"/>
      <c r="J4" s="4"/>
    </row>
    <row r="5" spans="1:10" ht="12.75">
      <c r="A5" s="22" t="s">
        <v>563</v>
      </c>
      <c r="B5" s="24">
        <v>67363237</v>
      </c>
      <c r="C5" s="136">
        <v>13</v>
      </c>
      <c r="D5" s="39">
        <v>2540</v>
      </c>
      <c r="E5" s="24">
        <v>10</v>
      </c>
      <c r="F5" s="39">
        <v>944</v>
      </c>
      <c r="G5" s="24">
        <v>0</v>
      </c>
      <c r="H5" s="8">
        <f>+D5+E5+F5+G5</f>
        <v>3494</v>
      </c>
      <c r="I5" s="146">
        <v>0</v>
      </c>
      <c r="J5" s="50">
        <v>3494</v>
      </c>
    </row>
    <row r="6" spans="1:10" ht="13.5" thickBot="1">
      <c r="A6" s="25" t="s">
        <v>13</v>
      </c>
      <c r="B6" s="26">
        <v>63834715</v>
      </c>
      <c r="C6" s="26">
        <v>12.3</v>
      </c>
      <c r="D6" s="69">
        <v>2420</v>
      </c>
      <c r="E6" s="26">
        <v>75</v>
      </c>
      <c r="F6" s="69">
        <v>922</v>
      </c>
      <c r="G6" s="26">
        <v>0</v>
      </c>
      <c r="H6" s="13">
        <f>+D6+E6+F6+G6</f>
        <v>3417</v>
      </c>
      <c r="I6" s="148">
        <v>0</v>
      </c>
      <c r="J6" s="151">
        <v>3417</v>
      </c>
    </row>
    <row r="7" spans="1:10" ht="13.5" thickBot="1">
      <c r="A7" s="115" t="s">
        <v>8</v>
      </c>
      <c r="B7" s="116"/>
      <c r="C7" s="152">
        <f aca="true" t="shared" si="0" ref="C7:H7">SUM(C5:C6)</f>
        <v>25.3</v>
      </c>
      <c r="D7" s="111">
        <f t="shared" si="0"/>
        <v>4960</v>
      </c>
      <c r="E7" s="111">
        <f t="shared" si="0"/>
        <v>85</v>
      </c>
      <c r="F7" s="111">
        <f t="shared" si="0"/>
        <v>1866</v>
      </c>
      <c r="G7" s="111">
        <f t="shared" si="0"/>
        <v>0</v>
      </c>
      <c r="H7" s="45">
        <f t="shared" si="0"/>
        <v>6911</v>
      </c>
      <c r="I7" s="44">
        <v>0</v>
      </c>
      <c r="J7" s="151">
        <f>SUM(J5:J6)</f>
        <v>6911</v>
      </c>
    </row>
    <row r="8" spans="1:9" ht="12.75">
      <c r="A8" s="19"/>
      <c r="B8" s="19"/>
      <c r="C8" s="19"/>
      <c r="D8" s="19"/>
      <c r="E8" s="19"/>
      <c r="F8" s="19"/>
      <c r="G8" s="19"/>
      <c r="H8" s="19"/>
      <c r="I8" s="19"/>
    </row>
    <row r="12" ht="12.75">
      <c r="F12" t="s">
        <v>16</v>
      </c>
    </row>
  </sheetData>
  <mergeCells count="4">
    <mergeCell ref="A2:A3"/>
    <mergeCell ref="B2:B3"/>
    <mergeCell ref="C2:H2"/>
    <mergeCell ref="I2:J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7"/>
  <sheetViews>
    <sheetView zoomScale="75" zoomScaleNormal="75" workbookViewId="0" topLeftCell="A1">
      <selection activeCell="B1" sqref="B1"/>
    </sheetView>
  </sheetViews>
  <sheetFormatPr defaultColWidth="9.00390625" defaultRowHeight="12.75"/>
  <cols>
    <col min="1" max="1" width="30.00390625" style="0" customWidth="1"/>
    <col min="2" max="2" width="10.25390625" style="0" customWidth="1"/>
    <col min="3" max="4" width="8.875" style="0" customWidth="1"/>
    <col min="5" max="5" width="9.00390625" style="0" customWidth="1"/>
    <col min="6" max="6" width="8.375" style="0" customWidth="1"/>
    <col min="7" max="7" width="8.875" style="0" customWidth="1"/>
    <col min="8" max="8" width="9.625" style="0" customWidth="1"/>
    <col min="9" max="9" width="10.625" style="0" hidden="1" customWidth="1"/>
    <col min="10" max="10" width="9.875" style="0" hidden="1" customWidth="1"/>
  </cols>
  <sheetData>
    <row r="1" ht="13.5" thickBot="1"/>
    <row r="2" spans="1:10" ht="12.75">
      <c r="A2" s="203" t="s">
        <v>11</v>
      </c>
      <c r="B2" s="198" t="s">
        <v>0</v>
      </c>
      <c r="C2" s="200" t="s">
        <v>534</v>
      </c>
      <c r="D2" s="210"/>
      <c r="E2" s="210"/>
      <c r="F2" s="210"/>
      <c r="G2" s="210"/>
      <c r="H2" s="211"/>
      <c r="I2" s="209" t="s">
        <v>534</v>
      </c>
      <c r="J2" s="189"/>
    </row>
    <row r="3" spans="1:10" ht="26.25" thickBot="1">
      <c r="A3" s="204"/>
      <c r="B3" s="199"/>
      <c r="C3" s="139" t="s">
        <v>531</v>
      </c>
      <c r="D3" s="140" t="s">
        <v>2</v>
      </c>
      <c r="E3" s="140" t="s">
        <v>3</v>
      </c>
      <c r="F3" s="140" t="s">
        <v>4</v>
      </c>
      <c r="G3" s="140" t="s">
        <v>532</v>
      </c>
      <c r="H3" s="142" t="s">
        <v>6</v>
      </c>
      <c r="I3" s="137" t="s">
        <v>533</v>
      </c>
      <c r="J3" s="2" t="s">
        <v>6</v>
      </c>
    </row>
    <row r="4" spans="1:10" ht="12.75">
      <c r="A4" s="164" t="s">
        <v>536</v>
      </c>
      <c r="B4" s="23"/>
      <c r="C4" s="138"/>
      <c r="D4" s="156"/>
      <c r="E4" s="157"/>
      <c r="F4" s="157"/>
      <c r="G4" s="157"/>
      <c r="H4" s="158"/>
      <c r="I4" s="159"/>
      <c r="J4" s="114"/>
    </row>
    <row r="5" spans="1:10" ht="12.75">
      <c r="A5" s="3" t="s">
        <v>14</v>
      </c>
      <c r="B5" s="20">
        <v>70966681</v>
      </c>
      <c r="C5" s="163">
        <v>6</v>
      </c>
      <c r="D5" s="49">
        <v>1230</v>
      </c>
      <c r="E5" s="24">
        <v>260</v>
      </c>
      <c r="F5" s="39">
        <v>546</v>
      </c>
      <c r="G5" s="24">
        <v>100</v>
      </c>
      <c r="H5" s="8">
        <f>+D5+E5+F5+G5</f>
        <v>2136</v>
      </c>
      <c r="I5" s="147">
        <v>0</v>
      </c>
      <c r="J5" s="144">
        <v>2136</v>
      </c>
    </row>
    <row r="6" spans="1:10" ht="13.5" thickBot="1">
      <c r="A6" s="25" t="s">
        <v>15</v>
      </c>
      <c r="B6" s="27">
        <v>638811</v>
      </c>
      <c r="C6" s="27">
        <v>3.5</v>
      </c>
      <c r="D6" s="153">
        <v>700</v>
      </c>
      <c r="E6" s="154">
        <v>500</v>
      </c>
      <c r="F6" s="132">
        <v>434</v>
      </c>
      <c r="G6" s="154">
        <v>0</v>
      </c>
      <c r="H6" s="13">
        <f>+D6+E6+F6+G6</f>
        <v>1634</v>
      </c>
      <c r="I6" s="148">
        <v>0</v>
      </c>
      <c r="J6" s="145">
        <v>1634</v>
      </c>
    </row>
    <row r="7" spans="1:10" ht="13.5" thickBot="1">
      <c r="A7" s="115" t="s">
        <v>8</v>
      </c>
      <c r="B7" s="155"/>
      <c r="C7" s="155">
        <v>9.5</v>
      </c>
      <c r="D7" s="143">
        <f>SUM(D5:D6)</f>
        <v>1930</v>
      </c>
      <c r="E7" s="116">
        <f>SUM(E5:E6)</f>
        <v>760</v>
      </c>
      <c r="F7" s="111">
        <f>SUM(F5:F6)</f>
        <v>980</v>
      </c>
      <c r="G7" s="116">
        <f>SUM(G5:G6)</f>
        <v>100</v>
      </c>
      <c r="H7" s="45">
        <f>SUM(H5:H6)</f>
        <v>3770</v>
      </c>
      <c r="I7" s="44">
        <v>0</v>
      </c>
      <c r="J7" s="145">
        <f>SUM(J5:J6)</f>
        <v>3770</v>
      </c>
    </row>
  </sheetData>
  <mergeCells count="4">
    <mergeCell ref="A2:A3"/>
    <mergeCell ref="B2:B3"/>
    <mergeCell ref="C2:H2"/>
    <mergeCell ref="I2:J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2003-12-09T08:58:42Z</cp:lastPrinted>
  <dcterms:created xsi:type="dcterms:W3CDTF">2003-07-22T09:16:31Z</dcterms:created>
  <dcterms:modified xsi:type="dcterms:W3CDTF">2003-12-09T09:00:56Z</dcterms:modified>
  <cp:category/>
  <cp:version/>
  <cp:contentType/>
  <cp:contentStatus/>
</cp:coreProperties>
</file>